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autoCompressPictures="0"/>
  <bookViews>
    <workbookView xWindow="120" yWindow="60" windowWidth="19095" windowHeight="7395" tabRatio="293"/>
  </bookViews>
  <sheets>
    <sheet name="CEQA EIRs" sheetId="1" r:id="rId1"/>
    <sheet name="Key - Impacts Analyzed" sheetId="7" r:id="rId2"/>
  </sheet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E42" i="1" l="1"/>
  <c r="E73" i="1"/>
  <c r="F73" i="1"/>
  <c r="F37" i="1"/>
  <c r="F81" i="1"/>
  <c r="F32" i="1"/>
  <c r="F45" i="1"/>
  <c r="F70" i="1"/>
  <c r="F77" i="1"/>
  <c r="F19" i="1"/>
  <c r="F16" i="1"/>
  <c r="F14" i="1"/>
  <c r="F47" i="1"/>
  <c r="F72" i="1"/>
  <c r="F3" i="1"/>
  <c r="F41" i="1"/>
  <c r="F40" i="1"/>
  <c r="F38" i="1"/>
  <c r="F74" i="1"/>
  <c r="F35" i="1"/>
  <c r="F34" i="1"/>
  <c r="F53" i="1"/>
  <c r="F52" i="1"/>
  <c r="F82" i="1"/>
  <c r="F33" i="1"/>
  <c r="F62" i="1"/>
  <c r="F30" i="1"/>
  <c r="F59" i="1"/>
  <c r="F51" i="1"/>
  <c r="F29" i="1"/>
  <c r="F80" i="1"/>
  <c r="F26" i="1"/>
  <c r="F24" i="1"/>
  <c r="F79" i="1"/>
  <c r="F78" i="1"/>
  <c r="F50" i="1"/>
  <c r="F22" i="1"/>
  <c r="F21" i="1"/>
  <c r="E77" i="1"/>
  <c r="F20" i="1"/>
  <c r="F61" i="1"/>
  <c r="F48" i="1"/>
  <c r="F76" i="1"/>
  <c r="F69" i="1"/>
  <c r="F18" i="1"/>
  <c r="F64" i="1"/>
  <c r="F56" i="1"/>
  <c r="F13" i="1"/>
  <c r="F60" i="1"/>
  <c r="F55" i="1"/>
  <c r="F11" i="1"/>
  <c r="F10" i="1"/>
  <c r="F9" i="1"/>
  <c r="F75" i="1"/>
  <c r="F8" i="1"/>
  <c r="E47" i="1"/>
  <c r="F7" i="1"/>
  <c r="F6" i="1"/>
  <c r="F5" i="1"/>
  <c r="F4" i="1"/>
  <c r="F71" i="1"/>
  <c r="E43" i="1"/>
  <c r="E39" i="1"/>
  <c r="E63" i="1"/>
  <c r="E67" i="1"/>
  <c r="E37" i="1"/>
  <c r="E36" i="1"/>
  <c r="E81" i="1"/>
  <c r="E32" i="1"/>
  <c r="E31" i="1"/>
  <c r="E54" i="1"/>
  <c r="E45" i="1"/>
  <c r="E66" i="1"/>
  <c r="E28" i="1"/>
  <c r="E70" i="1"/>
  <c r="E27" i="1"/>
  <c r="E25" i="1"/>
  <c r="E46" i="1"/>
  <c r="E23" i="1"/>
  <c r="E49" i="1"/>
  <c r="E65" i="1"/>
  <c r="E19" i="1"/>
  <c r="E17" i="1"/>
  <c r="E58" i="1"/>
  <c r="E16" i="1"/>
  <c r="E15" i="1"/>
  <c r="E57" i="1"/>
  <c r="E14" i="1"/>
  <c r="E12" i="1"/>
  <c r="E68" i="1"/>
  <c r="E44" i="1"/>
  <c r="E72" i="1"/>
  <c r="E3" i="1"/>
  <c r="D43" i="1"/>
  <c r="D42" i="1"/>
  <c r="D41" i="1"/>
  <c r="D40" i="1"/>
  <c r="D39" i="1"/>
  <c r="D63" i="1"/>
  <c r="D67" i="1"/>
  <c r="D74" i="1"/>
  <c r="D37" i="1"/>
  <c r="D35" i="1"/>
  <c r="D34" i="1"/>
  <c r="D53" i="1"/>
  <c r="D52" i="1"/>
  <c r="D82" i="1"/>
  <c r="D33" i="1"/>
  <c r="D81" i="1"/>
  <c r="D32" i="1"/>
  <c r="D62" i="1"/>
  <c r="D31" i="1"/>
  <c r="D54" i="1"/>
  <c r="D59" i="1"/>
  <c r="D45" i="1"/>
  <c r="D51" i="1"/>
  <c r="D66" i="1"/>
  <c r="D29" i="1"/>
  <c r="D80" i="1"/>
  <c r="D28" i="1"/>
  <c r="D70" i="1"/>
  <c r="D27" i="1"/>
  <c r="D26" i="1"/>
  <c r="D24" i="1"/>
  <c r="D79" i="1"/>
  <c r="D78" i="1"/>
  <c r="D46" i="1"/>
  <c r="D23" i="1"/>
  <c r="D50" i="1"/>
  <c r="D22" i="1"/>
  <c r="D21" i="1"/>
  <c r="D49" i="1"/>
  <c r="D77" i="1"/>
  <c r="D20" i="1"/>
  <c r="D61" i="1"/>
  <c r="D65" i="1"/>
  <c r="D48" i="1"/>
  <c r="D19" i="1"/>
  <c r="D76" i="1"/>
  <c r="D69" i="1"/>
  <c r="D18" i="1"/>
  <c r="D17" i="1"/>
  <c r="D58" i="1"/>
  <c r="D64" i="1"/>
  <c r="D16" i="1"/>
  <c r="D15" i="1"/>
  <c r="D57" i="1"/>
  <c r="D56" i="1"/>
  <c r="D14" i="1"/>
  <c r="D13" i="1"/>
  <c r="D60" i="1"/>
  <c r="D12" i="1"/>
  <c r="D55" i="1"/>
  <c r="D11" i="1"/>
  <c r="D10" i="1"/>
  <c r="D9" i="1"/>
  <c r="D68" i="1"/>
  <c r="D75" i="1"/>
  <c r="D8" i="1"/>
  <c r="D47" i="1"/>
  <c r="D44" i="1"/>
  <c r="D7" i="1"/>
  <c r="D73" i="1"/>
  <c r="D6" i="1"/>
  <c r="D5" i="1"/>
  <c r="D72" i="1"/>
  <c r="D4" i="1"/>
  <c r="D71" i="1"/>
  <c r="D3" i="1"/>
</calcChain>
</file>

<file path=xl/sharedStrings.xml><?xml version="1.0" encoding="utf-8"?>
<sst xmlns="http://schemas.openxmlformats.org/spreadsheetml/2006/main" count="575" uniqueCount="235">
  <si>
    <t>San Bernardino</t>
  </si>
  <si>
    <t>San Marcos</t>
  </si>
  <si>
    <t>Eureka</t>
  </si>
  <si>
    <t>Yucaipa</t>
  </si>
  <si>
    <t>Manteca</t>
  </si>
  <si>
    <t>Manteca, City of</t>
  </si>
  <si>
    <t>Transportation -- Highways</t>
  </si>
  <si>
    <t>Redding</t>
  </si>
  <si>
    <t>San Rafael</t>
  </si>
  <si>
    <t>Marin County</t>
  </si>
  <si>
    <t>Los Angeles, City of</t>
  </si>
  <si>
    <t>Clovis, City of</t>
  </si>
  <si>
    <t>Clovis</t>
  </si>
  <si>
    <t>Petaluma, Novato</t>
  </si>
  <si>
    <t>Merced</t>
  </si>
  <si>
    <t>San Diego</t>
  </si>
  <si>
    <t>West Hollywood, City of</t>
  </si>
  <si>
    <t>Santa Barbara</t>
  </si>
  <si>
    <t>Transportation Plan</t>
  </si>
  <si>
    <t xml:space="preserve">This report discusses in general terms some of project's components that will release or sequester GHGs. It also documents the forecasted impact of climate change on the project's vegetation and resources. </t>
  </si>
  <si>
    <t>This report has a brief qualitative discussion of the likely impact of the project on vehicle use, and thus GHGs, as well as some effects of climate change on the project.</t>
  </si>
  <si>
    <t>Project type</t>
  </si>
  <si>
    <t>Water and wastewater</t>
  </si>
  <si>
    <t>Forestry</t>
  </si>
  <si>
    <t>Public infrastructure</t>
  </si>
  <si>
    <t>Mining (non-coal)</t>
  </si>
  <si>
    <t>N/A</t>
  </si>
  <si>
    <t>Project Title</t>
  </si>
  <si>
    <t>Lead Agency</t>
  </si>
  <si>
    <t>City</t>
  </si>
  <si>
    <t>Berkeley</t>
  </si>
  <si>
    <t>Electric generating -- fossil</t>
  </si>
  <si>
    <t>Electric generating -- renewable</t>
  </si>
  <si>
    <t>Electric transmission</t>
  </si>
  <si>
    <t>Fishery management</t>
  </si>
  <si>
    <t>Transportation -- Rail and bus</t>
  </si>
  <si>
    <t>Modesto</t>
  </si>
  <si>
    <t>Seaside</t>
  </si>
  <si>
    <t>Placer County</t>
  </si>
  <si>
    <t>Auburn</t>
  </si>
  <si>
    <t>West Hollywood</t>
  </si>
  <si>
    <t>Bakersfield</t>
  </si>
  <si>
    <t>General Plan</t>
  </si>
  <si>
    <t>Pleasanton, Dublin, Livermore </t>
  </si>
  <si>
    <t>Salinas, Monterey</t>
  </si>
  <si>
    <t>Monterey County</t>
  </si>
  <si>
    <t>Caltrans #6</t>
  </si>
  <si>
    <t>Public Utilities Commission</t>
  </si>
  <si>
    <t>Power Inn Road, Fruitridge Road, Junipero Street, Elder Creek Road</t>
  </si>
  <si>
    <t>Lake Elsinore</t>
  </si>
  <si>
    <t>Riverside County</t>
  </si>
  <si>
    <t>Temecula</t>
  </si>
  <si>
    <t>Sonora</t>
  </si>
  <si>
    <t>Chula Vista</t>
  </si>
  <si>
    <t>San Francisco</t>
  </si>
  <si>
    <t>Malibu</t>
  </si>
  <si>
    <t>Sonoma County</t>
  </si>
  <si>
    <t>Santa Rosa</t>
  </si>
  <si>
    <t>Kern County</t>
  </si>
  <si>
    <t>Taft</t>
  </si>
  <si>
    <t>Pleasanton</t>
  </si>
  <si>
    <t>Ukiah</t>
  </si>
  <si>
    <t>Fairfield</t>
  </si>
  <si>
    <t>Oakland</t>
  </si>
  <si>
    <t>Rancho Cucamonga</t>
  </si>
  <si>
    <t>Santa Monica</t>
  </si>
  <si>
    <t>Newport Beach</t>
  </si>
  <si>
    <t>Marysville</t>
  </si>
  <si>
    <t>Caltrans #4</t>
  </si>
  <si>
    <t>Roseville</t>
  </si>
  <si>
    <t>Santa Clara</t>
  </si>
  <si>
    <t>Modesto, Riverbank, Oakdale</t>
  </si>
  <si>
    <t>Vacaville</t>
  </si>
  <si>
    <t>Menlo Park</t>
  </si>
  <si>
    <t>Palm Springs, Rancho Mirage, Cathedral City, Palm Desert, ...</t>
  </si>
  <si>
    <t>Santa Maria</t>
  </si>
  <si>
    <t>Mojave</t>
  </si>
  <si>
    <t>Department of Water Resources</t>
  </si>
  <si>
    <t>Santa Barbara County</t>
  </si>
  <si>
    <t>Byron, Brentwood</t>
  </si>
  <si>
    <t>Huntington Beach</t>
  </si>
  <si>
    <t>Sunnyvale, Santa Clara</t>
  </si>
  <si>
    <t>Visalia, Farmersville</t>
  </si>
  <si>
    <t>Torrance</t>
  </si>
  <si>
    <t>Sacramento Municipal Utility District</t>
  </si>
  <si>
    <t>Rio Vista</t>
  </si>
  <si>
    <t>Rohnert Park</t>
  </si>
  <si>
    <t>California State Board of Education</t>
  </si>
  <si>
    <t>El Segundo, Hawthorne</t>
  </si>
  <si>
    <t>South Gate</t>
  </si>
  <si>
    <t>Oxnard</t>
  </si>
  <si>
    <t>Hughson, Ceres</t>
  </si>
  <si>
    <t>Arroyo Grande</t>
  </si>
  <si>
    <t>San Jose</t>
  </si>
  <si>
    <t>Menlo Park, City of</t>
  </si>
  <si>
    <t>Santa Maria, City of</t>
  </si>
  <si>
    <t>Amador County</t>
  </si>
  <si>
    <t>Contra Costa Water District</t>
  </si>
  <si>
    <t>Huntington Beach, City of</t>
  </si>
  <si>
    <t>Torrance, City of</t>
  </si>
  <si>
    <t>Buena Vista Water Storage District</t>
  </si>
  <si>
    <t>East Bay Municipal Utility District</t>
  </si>
  <si>
    <t>Rohnert Park, City of</t>
  </si>
  <si>
    <t>Oxnard, City of</t>
  </si>
  <si>
    <t>South Placer Regional Transportation Authority</t>
  </si>
  <si>
    <t>Bureau of Land Management</t>
  </si>
  <si>
    <t>Turlock Irrigation District</t>
  </si>
  <si>
    <t>Los Angeles World Airports</t>
  </si>
  <si>
    <t>Grover Beach, City of</t>
  </si>
  <si>
    <t>Santa Clara Valley Water District</t>
  </si>
  <si>
    <t>San Marcos, City of</t>
  </si>
  <si>
    <t>Merced County</t>
  </si>
  <si>
    <t>Eureka, City of</t>
  </si>
  <si>
    <t>Fish &amp; Game #1</t>
  </si>
  <si>
    <t>Regional Water Quality Control Board, Region 1 (North Coast), Santa Rosa</t>
  </si>
  <si>
    <t>Merced, City of</t>
  </si>
  <si>
    <t>San Diego, Port of</t>
  </si>
  <si>
    <t>Draft EIR (pgs.)</t>
  </si>
  <si>
    <t>San Francisco, City and County of</t>
  </si>
  <si>
    <t>San Bernardino, City of</t>
  </si>
  <si>
    <t>X</t>
  </si>
  <si>
    <t xml:space="preserve">This report projects vehicle miles traveled for the business as usual and build scenario to estimate the project's decline in GHG emissions. </t>
  </si>
  <si>
    <t>This report estimates GHG emissions from construction, project-generated vehicle trips, on-site area source emissions (such as fossil fuel combustion and wood burning), and off-site electricity generation.</t>
  </si>
  <si>
    <t>This report says the proposed roadway will reduce vehicle miles traveled, but will contribute GHGs during its construction. The emissions from grading, paving, and construction vehicles are quantified.</t>
  </si>
  <si>
    <t>This report projects "metric tons of greenhouse gas emissions" from area sources, electricity and water use, mobile sources, and construction. It also considers the impact of sea level rise and increased droughts from climate change on the project.</t>
  </si>
  <si>
    <t>The Final EIR corrects earlier tables estimating each proposed alternative's total GHG emissions. The Draft EIR considers GHG emissions from operations, energy use, transportation, and construction. It discusses the main sources in depth and compares the aggregate emissions for each alternative.</t>
  </si>
  <si>
    <r>
      <t>This report estimates the CO</t>
    </r>
    <r>
      <rPr>
        <sz val="8"/>
        <color indexed="8"/>
        <rFont val="Arial"/>
        <family val="2"/>
      </rPr>
      <t>2</t>
    </r>
    <r>
      <rPr>
        <sz val="10"/>
        <color indexed="8"/>
        <rFont val="Arial"/>
        <family val="2"/>
      </rPr>
      <t xml:space="preserve"> emissions generated from area sources (such as landscaping and architectural coatings), utility usage, and increased vehicle traffic. </t>
    </r>
  </si>
  <si>
    <r>
      <t>This report details the annual CO</t>
    </r>
    <r>
      <rPr>
        <sz val="8"/>
        <color indexed="8"/>
        <rFont val="Arial"/>
        <family val="2"/>
      </rPr>
      <t>2</t>
    </r>
    <r>
      <rPr>
        <sz val="10"/>
        <color indexed="8"/>
        <rFont val="Arial"/>
        <family val="2"/>
      </rPr>
      <t>e emissions expected from operation of compressors (in electrical generation), glycol reboilers, and an emergency generator, as well as from worker vehicle trips and construction.</t>
    </r>
  </si>
  <si>
    <r>
      <t>The Final EIR revises the earlier standards of impact on climate change, taking a "net zero" GHG threshold approach such that any activity resulting in GHG emissions is considered significant. The Draft EIR report lists the GHG emissions as CO</t>
    </r>
    <r>
      <rPr>
        <sz val="8"/>
        <color indexed="8"/>
        <rFont val="Arial"/>
        <family val="2"/>
      </rPr>
      <t>2</t>
    </r>
    <r>
      <rPr>
        <sz val="10"/>
        <color indexed="8"/>
        <rFont val="Arial"/>
        <family val="2"/>
      </rPr>
      <t xml:space="preserve">e for project operation (from breaker leakage), vehicle operation, and construction. </t>
    </r>
  </si>
  <si>
    <t>The Final EIR amends the previous proposal to include consideration of climate change. It discusses and estimates sources expected to generate GHG emissions, including construction (mass grading and infrastructure improvements), vehicle trips, natural gas consumption, and potable water usage.</t>
  </si>
  <si>
    <t>This report discusses climate change in general terms, but briefly lists total GHG emissions projected for the different alternatives.</t>
  </si>
  <si>
    <t>Final EIR (pgs.)</t>
  </si>
  <si>
    <t>Formation of Wiseburn Unified School District</t>
  </si>
  <si>
    <t>Highland Avenue Walmart Expansion Project</t>
  </si>
  <si>
    <t>The Village at Playa Vista Project</t>
  </si>
  <si>
    <t>Clovis Research &amp; Technology Park</t>
  </si>
  <si>
    <t>University of California</t>
  </si>
  <si>
    <t>Stanislaus Council of Governments</t>
  </si>
  <si>
    <t>Seaside, City of</t>
  </si>
  <si>
    <t>Association of Monterey Bay Area Governments</t>
  </si>
  <si>
    <t>Bay Area Rapid Transit District</t>
  </si>
  <si>
    <t>Sonora, City of</t>
  </si>
  <si>
    <t>Otay Water District</t>
  </si>
  <si>
    <t>Malibu, City of</t>
  </si>
  <si>
    <t>Los Angeles Community College District</t>
  </si>
  <si>
    <t>Pleasanton, City of</t>
  </si>
  <si>
    <t>Mendocino County</t>
  </si>
  <si>
    <t>Solano County</t>
  </si>
  <si>
    <t>Oakland, City of</t>
  </si>
  <si>
    <t>Rancho Cucamonga, City of</t>
  </si>
  <si>
    <t>Santa Monica, City of</t>
  </si>
  <si>
    <t>Newport Beach, City of</t>
  </si>
  <si>
    <t>Three Rivers Levee Improvement Authority</t>
  </si>
  <si>
    <t>Roseville, City of</t>
  </si>
  <si>
    <t>Port of San Diego</t>
  </si>
  <si>
    <t>Santa Clara, City of</t>
  </si>
  <si>
    <t>Vacaville, City of</t>
  </si>
  <si>
    <r>
      <t>This report estimates the operational emissions of CO</t>
    </r>
    <r>
      <rPr>
        <sz val="8"/>
        <color indexed="8"/>
        <rFont val="Arial"/>
        <family val="2"/>
      </rPr>
      <t>2</t>
    </r>
    <r>
      <rPr>
        <sz val="10"/>
        <color indexed="8"/>
        <rFont val="Arial"/>
        <family val="2"/>
      </rPr>
      <t>, N</t>
    </r>
    <r>
      <rPr>
        <sz val="8"/>
        <color indexed="8"/>
        <rFont val="Arial"/>
        <family val="2"/>
      </rPr>
      <t>2</t>
    </r>
    <r>
      <rPr>
        <sz val="10"/>
        <color indexed="8"/>
        <rFont val="Arial"/>
        <family val="2"/>
      </rPr>
      <t>O, and CH</t>
    </r>
    <r>
      <rPr>
        <sz val="8"/>
        <color indexed="8"/>
        <rFont val="Arial"/>
        <family val="2"/>
      </rPr>
      <t>4</t>
    </r>
    <r>
      <rPr>
        <sz val="10"/>
        <color indexed="8"/>
        <rFont val="Arial"/>
        <family val="2"/>
      </rPr>
      <t xml:space="preserve"> from electricity use, natural gas use, water consumption, and vehicular use for a "business as usual" scenario and scenario with emission reduction measures for the Resort and Conference Center (RCC), Pacifica Residential and Retail Development, and Bayfront Park and Shoreline. It also lists the annual CO</t>
    </r>
    <r>
      <rPr>
        <sz val="8"/>
        <color indexed="8"/>
        <rFont val="Arial"/>
        <family val="2"/>
      </rPr>
      <t>2</t>
    </r>
    <r>
      <rPr>
        <sz val="10"/>
        <color indexed="8"/>
        <rFont val="Arial"/>
        <family val="2"/>
      </rPr>
      <t xml:space="preserve"> emissions from construction of each project through 2015. Lastly, it considers the impact of sea level rise from climate change on the project.</t>
    </r>
  </si>
  <si>
    <r>
      <t>This report's Final EIR corrects earlier tables and language. The Draft EIR lists the GHG emissions in terms of CO</t>
    </r>
    <r>
      <rPr>
        <sz val="8"/>
        <color indexed="8"/>
        <rFont val="Arial"/>
        <family val="2"/>
      </rPr>
      <t>2</t>
    </r>
    <r>
      <rPr>
        <sz val="10"/>
        <color indexed="8"/>
        <rFont val="Arial"/>
        <family val="2"/>
      </rPr>
      <t>e from direct sources, indirect sources, vehicular sources, solid waste, and water and wastewater. It also discusses the quantity of emissions expected from construction. Lastly, it lists the total emissions reductions expected from the mitigation strategies.</t>
    </r>
  </si>
  <si>
    <r>
      <t>This report mentions the total CO</t>
    </r>
    <r>
      <rPr>
        <sz val="8"/>
        <color indexed="8"/>
        <rFont val="Arial"/>
        <family val="2"/>
      </rPr>
      <t>2</t>
    </r>
    <r>
      <rPr>
        <sz val="10"/>
        <color indexed="8"/>
        <rFont val="Arial"/>
        <family val="2"/>
      </rPr>
      <t xml:space="preserve"> emissions expected to be generated by the project. It says that the main emissions source is transportation and calculates emissions in an appendix.</t>
    </r>
  </si>
  <si>
    <r>
      <t>This report lists the amount of GHGs its operations will avert and it briefly includes the daily CO</t>
    </r>
    <r>
      <rPr>
        <sz val="8"/>
        <color indexed="8"/>
        <rFont val="Arial"/>
        <family val="2"/>
      </rPr>
      <t>2</t>
    </r>
    <r>
      <rPr>
        <sz val="10"/>
        <color indexed="8"/>
        <rFont val="Arial"/>
        <family val="2"/>
      </rPr>
      <t xml:space="preserve"> emissions expected during construction.</t>
    </r>
  </si>
  <si>
    <r>
      <t>This proposal's FEIS corrects earlier figures to detail daily CO</t>
    </r>
    <r>
      <rPr>
        <sz val="8"/>
        <color indexed="8"/>
        <rFont val="Arial"/>
        <family val="2"/>
      </rPr>
      <t>2</t>
    </r>
    <r>
      <rPr>
        <sz val="10"/>
        <color indexed="8"/>
        <rFont val="Arial"/>
        <family val="2"/>
      </rPr>
      <t xml:space="preserve"> emissions for each alternative in 2040. The DEIS conservatively forecasts that the parkway's "CO</t>
    </r>
    <r>
      <rPr>
        <sz val="8"/>
        <color indexed="8"/>
        <rFont val="Arial"/>
        <family val="2"/>
      </rPr>
      <t>2</t>
    </r>
    <r>
      <rPr>
        <sz val="10"/>
        <color indexed="8"/>
        <rFont val="Arial"/>
        <family val="2"/>
      </rPr>
      <t xml:space="preserve"> emissions would increase by a maximum of 1.37 percent in the 2020 and 2.02 percent in 2040."</t>
    </r>
  </si>
  <si>
    <r>
      <t>The Final SEIR revises earlier tables. The Draft SEIR lists vehicle miles traveled and resulting CO</t>
    </r>
    <r>
      <rPr>
        <sz val="8"/>
        <color indexed="8"/>
        <rFont val="Arial"/>
        <family val="2"/>
      </rPr>
      <t>2</t>
    </r>
    <r>
      <rPr>
        <sz val="10"/>
        <color indexed="8"/>
        <rFont val="Arial"/>
        <family val="2"/>
      </rPr>
      <t>, CH</t>
    </r>
    <r>
      <rPr>
        <sz val="8"/>
        <color indexed="8"/>
        <rFont val="Arial"/>
        <family val="2"/>
      </rPr>
      <t>4</t>
    </r>
    <r>
      <rPr>
        <sz val="10"/>
        <color indexed="8"/>
        <rFont val="Arial"/>
        <family val="2"/>
      </rPr>
      <t>, N</t>
    </r>
    <r>
      <rPr>
        <sz val="8"/>
        <color indexed="8"/>
        <rFont val="Arial"/>
        <family val="2"/>
      </rPr>
      <t>2</t>
    </r>
    <r>
      <rPr>
        <sz val="10"/>
        <color indexed="8"/>
        <rFont val="Arial"/>
        <family val="2"/>
      </rPr>
      <t>O, and CO</t>
    </r>
    <r>
      <rPr>
        <sz val="8"/>
        <color indexed="8"/>
        <rFont val="Arial"/>
        <family val="2"/>
      </rPr>
      <t>2</t>
    </r>
    <r>
      <rPr>
        <sz val="10"/>
        <color indexed="8"/>
        <rFont val="Arial"/>
        <family val="2"/>
      </rPr>
      <t>e emissions for representative years from 1990 to 2035. It also details the various ways climate changes will impact the operations and infrastructure. The plan includes a "GHG Reduction" alternative.</t>
    </r>
  </si>
  <si>
    <r>
      <t>The Final EIR corrects a prior table. The Draft EIR lists the CO</t>
    </r>
    <r>
      <rPr>
        <sz val="8"/>
        <color indexed="8"/>
        <rFont val="Arial"/>
        <family val="2"/>
      </rPr>
      <t>2</t>
    </r>
    <r>
      <rPr>
        <sz val="10"/>
        <color indexed="8"/>
        <rFont val="Arial"/>
        <family val="2"/>
      </rPr>
      <t>, CH</t>
    </r>
    <r>
      <rPr>
        <sz val="8"/>
        <color indexed="8"/>
        <rFont val="Arial"/>
        <family val="2"/>
      </rPr>
      <t>4</t>
    </r>
    <r>
      <rPr>
        <sz val="10"/>
        <color indexed="8"/>
        <rFont val="Arial"/>
        <family val="2"/>
      </rPr>
      <t>, N</t>
    </r>
    <r>
      <rPr>
        <sz val="8"/>
        <color indexed="8"/>
        <rFont val="Arial"/>
        <family val="2"/>
      </rPr>
      <t>2</t>
    </r>
    <r>
      <rPr>
        <sz val="10"/>
        <color indexed="8"/>
        <rFont val="Arial"/>
        <family val="2"/>
      </rPr>
      <t>O, and total CO</t>
    </r>
    <r>
      <rPr>
        <sz val="8"/>
        <color indexed="8"/>
        <rFont val="Arial"/>
        <family val="2"/>
      </rPr>
      <t>2</t>
    </r>
    <r>
      <rPr>
        <sz val="10"/>
        <color indexed="8"/>
        <rFont val="Arial"/>
        <family val="2"/>
      </rPr>
      <t xml:space="preserve">e emissions from motor vehicle trips, natural gas usage, and landscape maintenance. </t>
    </r>
  </si>
  <si>
    <r>
      <t>The Final EIR updates earlier language regarding impacts on climate change. The Draft EIR lists daily average CO</t>
    </r>
    <r>
      <rPr>
        <sz val="8"/>
        <color indexed="8"/>
        <rFont val="Arial"/>
        <family val="2"/>
      </rPr>
      <t>2</t>
    </r>
    <r>
      <rPr>
        <sz val="10"/>
        <color indexed="8"/>
        <rFont val="Arial"/>
        <family val="2"/>
      </rPr>
      <t xml:space="preserve"> emissions projected from mitigated and unmitigated construction for 2009 through 2011. It also mentions the total sum of CO</t>
    </r>
    <r>
      <rPr>
        <sz val="8"/>
        <color indexed="8"/>
        <rFont val="Arial"/>
        <family val="2"/>
      </rPr>
      <t>2</t>
    </r>
    <r>
      <rPr>
        <sz val="10"/>
        <color indexed="8"/>
        <rFont val="Arial"/>
        <family val="2"/>
      </rPr>
      <t xml:space="preserve"> emissions.</t>
    </r>
  </si>
  <si>
    <r>
      <t>This report discusses likely sources of GHG emissions from the project, and mentions a specific quantity of CO</t>
    </r>
    <r>
      <rPr>
        <sz val="8"/>
        <color indexed="8"/>
        <rFont val="Arial"/>
        <family val="2"/>
      </rPr>
      <t>2</t>
    </r>
    <r>
      <rPr>
        <sz val="10"/>
        <color indexed="8"/>
        <rFont val="Arial"/>
        <family val="2"/>
      </rPr>
      <t xml:space="preserve"> emissions projected from construction.</t>
    </r>
  </si>
  <si>
    <t>Buildings and
real estate</t>
  </si>
  <si>
    <t>Code</t>
  </si>
  <si>
    <t>Resource Management Plan</t>
  </si>
  <si>
    <t>Impacts Analyzed</t>
  </si>
  <si>
    <r>
      <rPr>
        <b/>
        <u/>
        <sz val="10"/>
        <color indexed="8"/>
        <rFont val="Arial"/>
        <family val="2"/>
      </rPr>
      <t>Direct operational impacts</t>
    </r>
    <r>
      <rPr>
        <sz val="10"/>
        <color indexed="8"/>
        <rFont val="Arial"/>
        <family val="2"/>
      </rPr>
      <t>. Smokestack emissions from the facility; fugitive emissions such as methane escaping from oil and gas wells; emissions of methane and nitrous oxide from agricultural operations; methane from landfills and wastewater treatment plants; and impacts on carbon "sinks," such as forests, agricultural soils, and wetlands.</t>
    </r>
  </si>
  <si>
    <r>
      <rPr>
        <b/>
        <u/>
        <sz val="10"/>
        <color indexed="8"/>
        <rFont val="Arial"/>
        <family val="2"/>
      </rPr>
      <t>Purchased electricity</t>
    </r>
    <r>
      <rPr>
        <sz val="10"/>
        <color indexed="8"/>
        <rFont val="Arial"/>
        <family val="2"/>
      </rPr>
      <t xml:space="preserve">. The GHGs emitted in generating the electricity that is produced off-site and purchased by the facility. </t>
    </r>
  </si>
  <si>
    <r>
      <rPr>
        <b/>
        <u/>
        <sz val="10"/>
        <color indexed="8"/>
        <rFont val="Arial"/>
        <family val="2"/>
      </rPr>
      <t>Induced trips</t>
    </r>
    <r>
      <rPr>
        <sz val="10"/>
        <color indexed="8"/>
        <rFont val="Arial"/>
        <family val="2"/>
      </rPr>
      <t>. Employee, customer, and vendor travel; the transport of raw materials, manufactured goods, and other freight to and from the facility.</t>
    </r>
  </si>
  <si>
    <r>
      <rPr>
        <b/>
        <u/>
        <sz val="10"/>
        <color indexed="8"/>
        <rFont val="Arial"/>
        <family val="2"/>
      </rPr>
      <t>Construction impacts</t>
    </r>
    <r>
      <rPr>
        <sz val="10"/>
        <color indexed="8"/>
        <rFont val="Arial"/>
        <family val="2"/>
      </rPr>
      <t>. The GHG emissions from extracting and fabricating the construction materials, and from the equipment at and servicing the construction site.</t>
    </r>
  </si>
  <si>
    <r>
      <t>This Final EIR updates the report with a table containing construction-generated GHG emissions and it updates prior estimates of emissions from operations. The Draft EIR lists the CO</t>
    </r>
    <r>
      <rPr>
        <sz val="8"/>
        <color indexed="8"/>
        <rFont val="Arial"/>
        <family val="2"/>
      </rPr>
      <t>2</t>
    </r>
    <r>
      <rPr>
        <sz val="10"/>
        <color indexed="8"/>
        <rFont val="Arial"/>
        <family val="2"/>
      </rPr>
      <t>, CH</t>
    </r>
    <r>
      <rPr>
        <sz val="8"/>
        <color indexed="8"/>
        <rFont val="Arial"/>
        <family val="2"/>
      </rPr>
      <t>4</t>
    </r>
    <r>
      <rPr>
        <sz val="10"/>
        <color indexed="8"/>
        <rFont val="Arial"/>
        <family val="2"/>
      </rPr>
      <t>, N</t>
    </r>
    <r>
      <rPr>
        <sz val="8"/>
        <color indexed="8"/>
        <rFont val="Arial"/>
        <family val="2"/>
      </rPr>
      <t>2</t>
    </r>
    <r>
      <rPr>
        <sz val="10"/>
        <color indexed="8"/>
        <rFont val="Arial"/>
        <family val="2"/>
      </rPr>
      <t>O, and total CO</t>
    </r>
    <r>
      <rPr>
        <sz val="8"/>
        <color indexed="8"/>
        <rFont val="Arial"/>
        <family val="2"/>
      </rPr>
      <t>2</t>
    </r>
    <r>
      <rPr>
        <sz val="10"/>
        <color indexed="8"/>
        <rFont val="Arial"/>
        <family val="2"/>
      </rPr>
      <t xml:space="preserve">e emissions from area sources, solid waste generation, indirect electricity generation, motor vehicle trips, and construction under the worst case scenario and different emissions reduction alternatives. </t>
    </r>
  </si>
  <si>
    <r>
      <rPr>
        <b/>
        <u/>
        <sz val="10"/>
        <color indexed="8"/>
        <rFont val="Arial"/>
        <family val="2"/>
      </rPr>
      <t>Impact of climate change on project</t>
    </r>
    <r>
      <rPr>
        <sz val="10"/>
        <color indexed="8"/>
        <rFont val="Arial"/>
        <family val="2"/>
      </rPr>
      <t>. Among the topics here could be the effects of rising sea levels and water tables, increased flooding, greater temperature variations, water shortages, reduced snowpack, and activities needed to adapt to climate changes.</t>
    </r>
  </si>
  <si>
    <r>
      <t xml:space="preserve">Source: </t>
    </r>
    <r>
      <rPr>
        <sz val="11"/>
        <color theme="1"/>
        <rFont val="Calibri"/>
        <family val="2"/>
        <scheme val="minor"/>
      </rPr>
      <t xml:space="preserve">Michael Gerrard, </t>
    </r>
    <r>
      <rPr>
        <i/>
        <sz val="11"/>
        <color theme="1"/>
        <rFont val="Calibri"/>
        <family val="2"/>
        <scheme val="minor"/>
      </rPr>
      <t>SEQRA and Climate Change</t>
    </r>
    <r>
      <rPr>
        <sz val="11"/>
        <color theme="1"/>
        <rFont val="Calibri"/>
        <family val="2"/>
        <scheme val="minor"/>
      </rPr>
      <t>, NYSBA Government, Law and Policy Journal (Summer 2008)</t>
    </r>
  </si>
  <si>
    <t>Description</t>
  </si>
  <si>
    <t>This report lists the expected increase in GHG emissions from new building operations based on electricity and natural gas use, as well as the emissions from construction. The Final EIR corrects the earlier table of GHG emissions from construction.</t>
  </si>
  <si>
    <r>
      <t>This report lists the projected CO</t>
    </r>
    <r>
      <rPr>
        <sz val="8"/>
        <color indexed="8"/>
        <rFont val="Arial"/>
        <family val="2"/>
      </rPr>
      <t>2</t>
    </r>
    <r>
      <rPr>
        <sz val="10"/>
        <color indexed="8"/>
        <rFont val="Arial"/>
        <family val="2"/>
      </rPr>
      <t>e emissions from the project's operations, electricity consumption, vehicle travel, and construction.</t>
    </r>
  </si>
  <si>
    <r>
      <t>This report estimates the project's emissions of CO</t>
    </r>
    <r>
      <rPr>
        <sz val="8"/>
        <color indexed="8"/>
        <rFont val="Arial"/>
        <family val="2"/>
      </rPr>
      <t>2</t>
    </r>
    <r>
      <rPr>
        <sz val="10"/>
        <color indexed="8"/>
        <rFont val="Arial"/>
        <family val="2"/>
      </rPr>
      <t>, CH</t>
    </r>
    <r>
      <rPr>
        <sz val="8"/>
        <color indexed="8"/>
        <rFont val="Arial"/>
        <family val="2"/>
      </rPr>
      <t>4</t>
    </r>
    <r>
      <rPr>
        <sz val="10"/>
        <color indexed="8"/>
        <rFont val="Arial"/>
        <family val="2"/>
      </rPr>
      <t>, and N</t>
    </r>
    <r>
      <rPr>
        <sz val="8"/>
        <color indexed="8"/>
        <rFont val="Arial"/>
        <family val="2"/>
      </rPr>
      <t>2</t>
    </r>
    <r>
      <rPr>
        <sz val="10"/>
        <color indexed="8"/>
        <rFont val="Arial"/>
        <family val="2"/>
      </rPr>
      <t>O from the direct area source (landscaping), energy usage, and vehicle usage.</t>
    </r>
  </si>
  <si>
    <r>
      <t>The report lists the CO</t>
    </r>
    <r>
      <rPr>
        <sz val="8"/>
        <color indexed="8"/>
        <rFont val="Arial"/>
        <family val="2"/>
      </rPr>
      <t>2</t>
    </r>
    <r>
      <rPr>
        <sz val="10"/>
        <color indexed="8"/>
        <rFont val="Arial"/>
        <family val="2"/>
      </rPr>
      <t xml:space="preserve"> and CO</t>
    </r>
    <r>
      <rPr>
        <sz val="8"/>
        <color indexed="8"/>
        <rFont val="Arial"/>
        <family val="2"/>
      </rPr>
      <t>2</t>
    </r>
    <r>
      <rPr>
        <sz val="10"/>
        <color indexed="8"/>
        <rFont val="Arial"/>
        <family val="2"/>
      </rPr>
      <t>e emissions expected from the building's operations, energy use, induced vehicle trips, and construction, as well as the impacts of climate change (particularly increased flooding and wildfires) on the project.</t>
    </r>
  </si>
  <si>
    <r>
      <t>This report lists the CO</t>
    </r>
    <r>
      <rPr>
        <sz val="8"/>
        <color indexed="8"/>
        <rFont val="Arial"/>
        <family val="2"/>
      </rPr>
      <t>2</t>
    </r>
    <r>
      <rPr>
        <sz val="10"/>
        <color indexed="8"/>
        <rFont val="Arial"/>
        <family val="2"/>
      </rPr>
      <t xml:space="preserve"> emissions predicted from operational and area sources, electricity use, emergency generator testing, natural gas use, and helicopter trips. </t>
    </r>
  </si>
  <si>
    <r>
      <t>This report lists the grand total of the project's GHG emissions inventory in terms of CO</t>
    </r>
    <r>
      <rPr>
        <sz val="8"/>
        <color indexed="8"/>
        <rFont val="Arial"/>
        <family val="2"/>
      </rPr>
      <t>2</t>
    </r>
    <r>
      <rPr>
        <sz val="10"/>
        <color indexed="8"/>
        <rFont val="Arial"/>
        <family val="2"/>
      </rPr>
      <t xml:space="preserve">e for mobile operational sources, natural gas usage, and electricity generation. </t>
    </r>
  </si>
  <si>
    <r>
      <t>The Final EIR corrects a prior table. The Draft EIR lists CO</t>
    </r>
    <r>
      <rPr>
        <sz val="8"/>
        <color indexed="8"/>
        <rFont val="Arial"/>
        <family val="2"/>
      </rPr>
      <t>2</t>
    </r>
    <r>
      <rPr>
        <sz val="10"/>
        <color indexed="8"/>
        <rFont val="Arial"/>
        <family val="2"/>
      </rPr>
      <t xml:space="preserve"> emissions from construction components from 2009 through 2013. It then lists CO</t>
    </r>
    <r>
      <rPr>
        <sz val="8"/>
        <color indexed="8"/>
        <rFont val="Arial"/>
        <family val="2"/>
      </rPr>
      <t>2</t>
    </r>
    <r>
      <rPr>
        <sz val="10"/>
        <color indexed="8"/>
        <rFont val="Arial"/>
        <family val="2"/>
      </rPr>
      <t>, CH</t>
    </r>
    <r>
      <rPr>
        <sz val="8"/>
        <color indexed="8"/>
        <rFont val="Arial"/>
        <family val="2"/>
      </rPr>
      <t>4</t>
    </r>
    <r>
      <rPr>
        <sz val="10"/>
        <color indexed="8"/>
        <rFont val="Arial"/>
        <family val="2"/>
      </rPr>
      <t>, NO</t>
    </r>
    <r>
      <rPr>
        <sz val="8"/>
        <color indexed="8"/>
        <rFont val="Arial"/>
        <family val="2"/>
      </rPr>
      <t>2</t>
    </r>
    <r>
      <rPr>
        <sz val="10"/>
        <color indexed="8"/>
        <rFont val="Arial"/>
        <family val="2"/>
      </rPr>
      <t>, and total CO</t>
    </r>
    <r>
      <rPr>
        <sz val="8"/>
        <color indexed="8"/>
        <rFont val="Arial"/>
        <family val="2"/>
      </rPr>
      <t>2</t>
    </r>
    <r>
      <rPr>
        <sz val="10"/>
        <color indexed="8"/>
        <rFont val="Arial"/>
        <family val="2"/>
      </rPr>
      <t>e emissions from operations compared with operations for the existing CUP. It also discusses potential climate change impacts on the project.</t>
    </r>
  </si>
  <si>
    <r>
      <t>This report discusses in depth annual CO</t>
    </r>
    <r>
      <rPr>
        <sz val="8"/>
        <color indexed="8"/>
        <rFont val="Arial"/>
        <family val="2"/>
      </rPr>
      <t>2</t>
    </r>
    <r>
      <rPr>
        <sz val="10"/>
        <color indexed="8"/>
        <rFont val="Arial"/>
        <family val="2"/>
      </rPr>
      <t>e emissions from area sources, construction, energy use, transportation and vehicle use, and utilities. It also considers positive and negative GHG emissions from vegetation change. Lastly, it discusses the impact of climate change, particularly increased wildfires, on the project.</t>
    </r>
  </si>
  <si>
    <r>
      <t>This report lists the CO</t>
    </r>
    <r>
      <rPr>
        <sz val="8"/>
        <color indexed="8"/>
        <rFont val="Arial"/>
        <family val="2"/>
      </rPr>
      <t>2</t>
    </r>
    <r>
      <rPr>
        <sz val="10"/>
        <color indexed="8"/>
        <rFont val="Arial"/>
        <family val="2"/>
      </rPr>
      <t xml:space="preserve">e emissions expected from mobile sources, electricity use, and natural gas use. </t>
    </r>
  </si>
  <si>
    <r>
      <t>This report lists predicted CO</t>
    </r>
    <r>
      <rPr>
        <sz val="8"/>
        <color indexed="8"/>
        <rFont val="Arial"/>
        <family val="2"/>
      </rPr>
      <t>2</t>
    </r>
    <r>
      <rPr>
        <sz val="10"/>
        <color indexed="8"/>
        <rFont val="Arial"/>
        <family val="2"/>
      </rPr>
      <t xml:space="preserve"> emissions from direct area sources, electricity consumption, mobile sources, and construction.</t>
    </r>
  </si>
  <si>
    <r>
      <t>This report projects CO</t>
    </r>
    <r>
      <rPr>
        <sz val="8"/>
        <color indexed="8"/>
        <rFont val="Arial"/>
        <family val="2"/>
      </rPr>
      <t>2</t>
    </r>
    <r>
      <rPr>
        <sz val="10"/>
        <color indexed="8"/>
        <rFont val="Arial"/>
        <family val="2"/>
      </rPr>
      <t xml:space="preserve"> emissions from construction and operations, including water transport for building uses and landscaping, indirect electricity, natural gas, refrigerants, motor vehicles, and boats. </t>
    </r>
  </si>
  <si>
    <r>
      <t>This report lists the predicted GHG emissions in terms of CO</t>
    </r>
    <r>
      <rPr>
        <sz val="8"/>
        <color indexed="8"/>
        <rFont val="Arial"/>
        <family val="2"/>
      </rPr>
      <t>2</t>
    </r>
    <r>
      <rPr>
        <sz val="10"/>
        <color indexed="8"/>
        <rFont val="Arial"/>
        <family val="2"/>
      </rPr>
      <t>e from solid waste, water use, natural gas use, electricity use, and transportation. It discusses these main sources in depth.</t>
    </r>
  </si>
  <si>
    <r>
      <t>This report lists the CO</t>
    </r>
    <r>
      <rPr>
        <sz val="8"/>
        <color indexed="8"/>
        <rFont val="Arial"/>
        <family val="2"/>
      </rPr>
      <t>2</t>
    </r>
    <r>
      <rPr>
        <sz val="10"/>
        <color indexed="8"/>
        <rFont val="Arial"/>
        <family val="2"/>
      </rPr>
      <t xml:space="preserve"> emissions expected from area sources (including natural gas use and landscape equipment), electricity usage, and mobile sources. It discusses these sources in depth. It also considers the impact of climate change on the project.</t>
    </r>
  </si>
  <si>
    <r>
      <t>This report briefly lists the CO</t>
    </r>
    <r>
      <rPr>
        <sz val="8"/>
        <color indexed="8"/>
        <rFont val="Arial"/>
        <family val="2"/>
      </rPr>
      <t>2</t>
    </r>
    <r>
      <rPr>
        <sz val="10"/>
        <color indexed="8"/>
        <rFont val="Arial"/>
        <family val="2"/>
      </rPr>
      <t>, CH</t>
    </r>
    <r>
      <rPr>
        <sz val="8"/>
        <color indexed="8"/>
        <rFont val="Arial"/>
        <family val="2"/>
      </rPr>
      <t>4</t>
    </r>
    <r>
      <rPr>
        <sz val="10"/>
        <color indexed="8"/>
        <rFont val="Arial"/>
        <family val="2"/>
      </rPr>
      <t>, and N</t>
    </r>
    <r>
      <rPr>
        <sz val="8"/>
        <color indexed="8"/>
        <rFont val="Arial"/>
        <family val="2"/>
      </rPr>
      <t>2</t>
    </r>
    <r>
      <rPr>
        <sz val="10"/>
        <color indexed="8"/>
        <rFont val="Arial"/>
        <family val="2"/>
      </rPr>
      <t>O emissions expected from mobile sources, natural gas, electricity use, and water use.</t>
    </r>
  </si>
  <si>
    <r>
      <t>This report projects the CO</t>
    </r>
    <r>
      <rPr>
        <sz val="8"/>
        <color indexed="8"/>
        <rFont val="Arial"/>
        <family val="2"/>
      </rPr>
      <t>2</t>
    </r>
    <r>
      <rPr>
        <sz val="10"/>
        <color indexed="8"/>
        <rFont val="Arial"/>
        <family val="2"/>
      </rPr>
      <t>, N</t>
    </r>
    <r>
      <rPr>
        <sz val="8"/>
        <color indexed="8"/>
        <rFont val="Arial"/>
        <family val="2"/>
      </rPr>
      <t>2</t>
    </r>
    <r>
      <rPr>
        <sz val="10"/>
        <color indexed="8"/>
        <rFont val="Arial"/>
        <family val="2"/>
      </rPr>
      <t>O, CH</t>
    </r>
    <r>
      <rPr>
        <sz val="8"/>
        <color indexed="8"/>
        <rFont val="Arial"/>
        <family val="2"/>
      </rPr>
      <t>4</t>
    </r>
    <r>
      <rPr>
        <sz val="10"/>
        <color indexed="8"/>
        <rFont val="Arial"/>
        <family val="2"/>
      </rPr>
      <t>, hydrofluorocarbons, and total CO</t>
    </r>
    <r>
      <rPr>
        <sz val="8"/>
        <color indexed="8"/>
        <rFont val="Arial"/>
        <family val="2"/>
      </rPr>
      <t>2</t>
    </r>
    <r>
      <rPr>
        <sz val="10"/>
        <color indexed="8"/>
        <rFont val="Arial"/>
        <family val="2"/>
      </rPr>
      <t>e emissions from vehicles, natural gas, electricity, water transport and treatment, refrigeration system, air conditioning, and construction.</t>
    </r>
  </si>
  <si>
    <r>
      <t>This report lists the annual CO</t>
    </r>
    <r>
      <rPr>
        <sz val="8"/>
        <color indexed="8"/>
        <rFont val="Arial"/>
        <family val="2"/>
      </rPr>
      <t>2</t>
    </r>
    <r>
      <rPr>
        <sz val="10"/>
        <color indexed="8"/>
        <rFont val="Arial"/>
        <family val="2"/>
      </rPr>
      <t>, CH</t>
    </r>
    <r>
      <rPr>
        <sz val="8"/>
        <color indexed="8"/>
        <rFont val="Arial"/>
        <family val="2"/>
      </rPr>
      <t>4</t>
    </r>
    <r>
      <rPr>
        <sz val="10"/>
        <color indexed="8"/>
        <rFont val="Arial"/>
        <family val="2"/>
      </rPr>
      <t>, and N</t>
    </r>
    <r>
      <rPr>
        <sz val="8"/>
        <color indexed="8"/>
        <rFont val="Arial"/>
        <family val="2"/>
      </rPr>
      <t>2</t>
    </r>
    <r>
      <rPr>
        <sz val="10"/>
        <color indexed="8"/>
        <rFont val="Arial"/>
        <family val="2"/>
      </rPr>
      <t>O emissions anticipated from mobile sources, natural gas use, electricity use, and water use. It also estimates the total GHG emissions from construction. Because the school will save vehicle miles traveled by enabling nearby students to travel short distances, it is projected to avoid GHG emissions overall.</t>
    </r>
  </si>
  <si>
    <r>
      <t>This report's Appendix C lists CO</t>
    </r>
    <r>
      <rPr>
        <sz val="8"/>
        <color indexed="8"/>
        <rFont val="Arial"/>
        <family val="2"/>
      </rPr>
      <t>2</t>
    </r>
    <r>
      <rPr>
        <sz val="10"/>
        <color indexed="8"/>
        <rFont val="Arial"/>
        <family val="2"/>
      </rPr>
      <t xml:space="preserve"> emissions projected from stationary sources, mobile sources, and area sources.</t>
    </r>
  </si>
  <si>
    <r>
      <t>This report discusses the likely major sources of CO</t>
    </r>
    <r>
      <rPr>
        <sz val="8"/>
        <color indexed="8"/>
        <rFont val="Arial"/>
        <family val="2"/>
      </rPr>
      <t>2</t>
    </r>
    <r>
      <rPr>
        <sz val="10"/>
        <color indexed="8"/>
        <rFont val="Arial"/>
        <family val="2"/>
      </rPr>
      <t xml:space="preserve"> emissions, including vehicle use and energy use.</t>
    </r>
  </si>
  <si>
    <r>
      <t>This report lists the total GHG emissions expected in terms of CO</t>
    </r>
    <r>
      <rPr>
        <sz val="8"/>
        <color indexed="8"/>
        <rFont val="Arial"/>
        <family val="2"/>
      </rPr>
      <t>2</t>
    </r>
    <r>
      <rPr>
        <sz val="10"/>
        <color indexed="8"/>
        <rFont val="Arial"/>
        <family val="2"/>
      </rPr>
      <t>e from mobile sources, natural gas usage, and electricity generation. It also mentions the total GHG emissions expected from construction.</t>
    </r>
  </si>
  <si>
    <r>
      <t>This report lists the annual CO</t>
    </r>
    <r>
      <rPr>
        <sz val="8"/>
        <color indexed="8"/>
        <rFont val="Arial"/>
        <family val="2"/>
      </rPr>
      <t>2</t>
    </r>
    <r>
      <rPr>
        <sz val="10"/>
        <color indexed="8"/>
        <rFont val="Arial"/>
        <family val="2"/>
      </rPr>
      <t>, N</t>
    </r>
    <r>
      <rPr>
        <sz val="8"/>
        <color indexed="8"/>
        <rFont val="Arial"/>
        <family val="2"/>
      </rPr>
      <t>2</t>
    </r>
    <r>
      <rPr>
        <sz val="10"/>
        <color indexed="8"/>
        <rFont val="Arial"/>
        <family val="2"/>
      </rPr>
      <t>O, and CH</t>
    </r>
    <r>
      <rPr>
        <sz val="8"/>
        <color indexed="8"/>
        <rFont val="Arial"/>
        <family val="2"/>
      </rPr>
      <t>4</t>
    </r>
    <r>
      <rPr>
        <sz val="10"/>
        <color indexed="8"/>
        <rFont val="Arial"/>
        <family val="2"/>
      </rPr>
      <t xml:space="preserve"> emissions projected from area sources and motor vehicles. It also estimates the total CO</t>
    </r>
    <r>
      <rPr>
        <sz val="8"/>
        <color indexed="8"/>
        <rFont val="Arial"/>
        <family val="2"/>
      </rPr>
      <t>2</t>
    </r>
    <r>
      <rPr>
        <sz val="10"/>
        <color indexed="8"/>
        <rFont val="Arial"/>
        <family val="2"/>
      </rPr>
      <t xml:space="preserve"> emissions from construction. </t>
    </r>
  </si>
  <si>
    <r>
      <t>This report lists the annual CO</t>
    </r>
    <r>
      <rPr>
        <sz val="8"/>
        <color indexed="8"/>
        <rFont val="Arial"/>
        <family val="2"/>
      </rPr>
      <t>2</t>
    </r>
    <r>
      <rPr>
        <sz val="10"/>
        <color indexed="8"/>
        <rFont val="Arial"/>
        <family val="2"/>
      </rPr>
      <t>, CH</t>
    </r>
    <r>
      <rPr>
        <sz val="8"/>
        <color indexed="8"/>
        <rFont val="Arial"/>
        <family val="2"/>
      </rPr>
      <t>4</t>
    </r>
    <r>
      <rPr>
        <sz val="10"/>
        <color indexed="8"/>
        <rFont val="Arial"/>
        <family val="2"/>
      </rPr>
      <t>, N</t>
    </r>
    <r>
      <rPr>
        <sz val="8"/>
        <color indexed="8"/>
        <rFont val="Arial"/>
        <family val="2"/>
      </rPr>
      <t>2</t>
    </r>
    <r>
      <rPr>
        <sz val="10"/>
        <color indexed="8"/>
        <rFont val="Arial"/>
        <family val="2"/>
      </rPr>
      <t>O, and total CO</t>
    </r>
    <r>
      <rPr>
        <sz val="8"/>
        <color indexed="8"/>
        <rFont val="Arial"/>
        <family val="2"/>
      </rPr>
      <t>2</t>
    </r>
    <r>
      <rPr>
        <sz val="10"/>
        <color indexed="8"/>
        <rFont val="Arial"/>
        <family val="2"/>
      </rPr>
      <t>e emissions predicted from vehicles, electricity production, natural gas combustion, solid waste, and other area sources. It later considers the peak daily CO</t>
    </r>
    <r>
      <rPr>
        <sz val="8"/>
        <color indexed="8"/>
        <rFont val="Arial"/>
        <family val="2"/>
      </rPr>
      <t>2</t>
    </r>
    <r>
      <rPr>
        <sz val="10"/>
        <color indexed="8"/>
        <rFont val="Arial"/>
        <family val="2"/>
      </rPr>
      <t xml:space="preserve"> emissions for various phases of construction.</t>
    </r>
  </si>
  <si>
    <r>
      <t>This report lists the peak daily CO</t>
    </r>
    <r>
      <rPr>
        <sz val="8"/>
        <color indexed="8"/>
        <rFont val="Arial"/>
        <family val="2"/>
      </rPr>
      <t>2</t>
    </r>
    <r>
      <rPr>
        <sz val="10"/>
        <color indexed="8"/>
        <rFont val="Arial"/>
        <family val="2"/>
      </rPr>
      <t xml:space="preserve"> emissions expected from construction and from operations. </t>
    </r>
  </si>
  <si>
    <r>
      <t>The report lists the CO</t>
    </r>
    <r>
      <rPr>
        <sz val="8"/>
        <color indexed="8"/>
        <rFont val="Arial"/>
        <family val="2"/>
      </rPr>
      <t>2</t>
    </r>
    <r>
      <rPr>
        <sz val="10"/>
        <color indexed="8"/>
        <rFont val="Arial"/>
        <family val="2"/>
      </rPr>
      <t xml:space="preserve"> and CO</t>
    </r>
    <r>
      <rPr>
        <sz val="8"/>
        <color indexed="8"/>
        <rFont val="Arial"/>
        <family val="2"/>
      </rPr>
      <t>2</t>
    </r>
    <r>
      <rPr>
        <sz val="10"/>
        <color indexed="8"/>
        <rFont val="Arial"/>
        <family val="2"/>
      </rPr>
      <t>e emissions projected from the building's operations, energy use, induced vehicle trips, and construction, as well as the impacts of climate change (particularly increased flooding and wildfires) on the project.</t>
    </r>
  </si>
  <si>
    <r>
      <t>This report lists the CO</t>
    </r>
    <r>
      <rPr>
        <sz val="8"/>
        <color indexed="8"/>
        <rFont val="Arial"/>
        <family val="2"/>
      </rPr>
      <t>2</t>
    </r>
    <r>
      <rPr>
        <sz val="10"/>
        <color indexed="8"/>
        <rFont val="Arial"/>
        <family val="2"/>
      </rPr>
      <t>, CH</t>
    </r>
    <r>
      <rPr>
        <sz val="8"/>
        <color indexed="8"/>
        <rFont val="Arial"/>
        <family val="2"/>
      </rPr>
      <t>4</t>
    </r>
    <r>
      <rPr>
        <sz val="10"/>
        <color indexed="8"/>
        <rFont val="Arial"/>
        <family val="2"/>
      </rPr>
      <t>, N</t>
    </r>
    <r>
      <rPr>
        <sz val="8"/>
        <color indexed="8"/>
        <rFont val="Arial"/>
        <family val="2"/>
      </rPr>
      <t>2</t>
    </r>
    <r>
      <rPr>
        <sz val="10"/>
        <color indexed="8"/>
        <rFont val="Arial"/>
        <family val="2"/>
      </rPr>
      <t>O, and total CO</t>
    </r>
    <r>
      <rPr>
        <sz val="8"/>
        <color indexed="8"/>
        <rFont val="Arial"/>
        <family val="2"/>
      </rPr>
      <t>2</t>
    </r>
    <r>
      <rPr>
        <sz val="10"/>
        <color indexed="8"/>
        <rFont val="Arial"/>
        <family val="2"/>
      </rPr>
      <t xml:space="preserve">e emissions expected from construction, including construction equipment, truck trips, and worker trips, and operations, from vehicle use, electricity use, natural gas use, and water consumption. </t>
    </r>
  </si>
  <si>
    <r>
      <t>This report lists the annual total unmitigated and mitigated CO</t>
    </r>
    <r>
      <rPr>
        <sz val="8"/>
        <color indexed="8"/>
        <rFont val="Arial"/>
        <family val="2"/>
      </rPr>
      <t>2</t>
    </r>
    <r>
      <rPr>
        <sz val="10"/>
        <color indexed="8"/>
        <rFont val="Arial"/>
        <family val="2"/>
      </rPr>
      <t xml:space="preserve"> emissions projected from construction and operational emissions, including area sources and mobile sources, for 2009 through 2014.</t>
    </r>
  </si>
  <si>
    <r>
      <t>This report lists the expected GHG emissions in terms of CO</t>
    </r>
    <r>
      <rPr>
        <sz val="8"/>
        <color indexed="8"/>
        <rFont val="Arial"/>
        <family val="2"/>
      </rPr>
      <t>2</t>
    </r>
    <r>
      <rPr>
        <sz val="10"/>
        <color indexed="8"/>
        <rFont val="Arial"/>
        <family val="2"/>
      </rPr>
      <t>, N</t>
    </r>
    <r>
      <rPr>
        <sz val="8"/>
        <color indexed="8"/>
        <rFont val="Arial"/>
        <family val="2"/>
      </rPr>
      <t>2</t>
    </r>
    <r>
      <rPr>
        <sz val="10"/>
        <color indexed="8"/>
        <rFont val="Arial"/>
        <family val="2"/>
      </rPr>
      <t>O, N</t>
    </r>
    <r>
      <rPr>
        <sz val="8"/>
        <color indexed="8"/>
        <rFont val="Arial"/>
        <family val="2"/>
      </rPr>
      <t>2</t>
    </r>
    <r>
      <rPr>
        <sz val="10"/>
        <color indexed="8"/>
        <rFont val="Arial"/>
        <family val="2"/>
      </rPr>
      <t>O in CO</t>
    </r>
    <r>
      <rPr>
        <sz val="8"/>
        <color indexed="8"/>
        <rFont val="Arial"/>
        <family val="2"/>
      </rPr>
      <t>2</t>
    </r>
    <r>
      <rPr>
        <sz val="10"/>
        <color indexed="8"/>
        <rFont val="Arial"/>
        <family val="2"/>
      </rPr>
      <t>e, CH</t>
    </r>
    <r>
      <rPr>
        <sz val="8"/>
        <color indexed="8"/>
        <rFont val="Arial"/>
        <family val="2"/>
      </rPr>
      <t>4</t>
    </r>
    <r>
      <rPr>
        <sz val="10"/>
        <color indexed="8"/>
        <rFont val="Arial"/>
        <family val="2"/>
      </rPr>
      <t>, CH</t>
    </r>
    <r>
      <rPr>
        <sz val="8"/>
        <color indexed="8"/>
        <rFont val="Arial"/>
        <family val="2"/>
      </rPr>
      <t>4</t>
    </r>
    <r>
      <rPr>
        <sz val="10"/>
        <color indexed="8"/>
        <rFont val="Arial"/>
        <family val="2"/>
      </rPr>
      <t xml:space="preserve"> in CO</t>
    </r>
    <r>
      <rPr>
        <sz val="8"/>
        <color indexed="8"/>
        <rFont val="Arial"/>
        <family val="2"/>
      </rPr>
      <t>2</t>
    </r>
    <r>
      <rPr>
        <sz val="10"/>
        <color indexed="8"/>
        <rFont val="Arial"/>
        <family val="2"/>
      </rPr>
      <t>e, and total CO</t>
    </r>
    <r>
      <rPr>
        <sz val="8"/>
        <color indexed="8"/>
        <rFont val="Arial"/>
        <family val="2"/>
      </rPr>
      <t>2</t>
    </r>
    <r>
      <rPr>
        <sz val="10"/>
        <color indexed="8"/>
        <rFont val="Arial"/>
        <family val="2"/>
      </rPr>
      <t>e emissions from electricity use, natural gas use, vehicle use, and solid waste.</t>
    </r>
  </si>
  <si>
    <r>
      <t>The Final EIR adds a table listing annual CO</t>
    </r>
    <r>
      <rPr>
        <sz val="8"/>
        <color indexed="8"/>
        <rFont val="Arial"/>
        <family val="2"/>
      </rPr>
      <t>2</t>
    </r>
    <r>
      <rPr>
        <sz val="10"/>
        <color indexed="8"/>
        <rFont val="Arial"/>
        <family val="2"/>
      </rPr>
      <t>, CH</t>
    </r>
    <r>
      <rPr>
        <sz val="8"/>
        <color indexed="8"/>
        <rFont val="Arial"/>
        <family val="2"/>
      </rPr>
      <t>4</t>
    </r>
    <r>
      <rPr>
        <sz val="10"/>
        <color indexed="8"/>
        <rFont val="Arial"/>
        <family val="2"/>
      </rPr>
      <t>, N</t>
    </r>
    <r>
      <rPr>
        <sz val="8"/>
        <color indexed="8"/>
        <rFont val="Arial"/>
        <family val="2"/>
      </rPr>
      <t>2</t>
    </r>
    <r>
      <rPr>
        <sz val="10"/>
        <color indexed="8"/>
        <rFont val="Arial"/>
        <family val="2"/>
      </rPr>
      <t>O, and total CO</t>
    </r>
    <r>
      <rPr>
        <sz val="8"/>
        <color indexed="8"/>
        <rFont val="Arial"/>
        <family val="2"/>
      </rPr>
      <t>2</t>
    </r>
    <r>
      <rPr>
        <sz val="10"/>
        <color indexed="8"/>
        <rFont val="Arial"/>
        <family val="2"/>
      </rPr>
      <t>e emissions anticipated from school bus trips. It also addresses comments criticizing the analysis of climate change at length. The Draft EIR lists CO</t>
    </r>
    <r>
      <rPr>
        <sz val="8"/>
        <color indexed="8"/>
        <rFont val="Arial"/>
        <family val="2"/>
      </rPr>
      <t>2</t>
    </r>
    <r>
      <rPr>
        <sz val="10"/>
        <color indexed="8"/>
        <rFont val="Arial"/>
        <family val="2"/>
      </rPr>
      <t>, CH</t>
    </r>
    <r>
      <rPr>
        <sz val="8"/>
        <color indexed="8"/>
        <rFont val="Arial"/>
        <family val="2"/>
      </rPr>
      <t>4</t>
    </r>
    <r>
      <rPr>
        <sz val="10"/>
        <color indexed="8"/>
        <rFont val="Arial"/>
        <family val="2"/>
      </rPr>
      <t>, N</t>
    </r>
    <r>
      <rPr>
        <sz val="8"/>
        <color indexed="8"/>
        <rFont val="Arial"/>
        <family val="2"/>
      </rPr>
      <t>2</t>
    </r>
    <r>
      <rPr>
        <sz val="10"/>
        <color indexed="8"/>
        <rFont val="Arial"/>
        <family val="2"/>
      </rPr>
      <t>O, other GHGs, and total CO</t>
    </r>
    <r>
      <rPr>
        <sz val="8"/>
        <color indexed="8"/>
        <rFont val="Arial"/>
        <family val="2"/>
      </rPr>
      <t>2</t>
    </r>
    <r>
      <rPr>
        <sz val="10"/>
        <color indexed="8"/>
        <rFont val="Arial"/>
        <family val="2"/>
      </rPr>
      <t>e emissions from construction (off-road and on-road sources), residential and commercial buildings (electricity use, propane use, and area sources), municipal sources (water supply, water distribution, waste generation, wastewater treatment, and public lighting), mobile sources, and other sources (helipad use as well as refrigeration and air conditioning). It also considers GHG emissions after mitigation measures. Additionally, it analyzes land use change and embodied emissions, though it does not include these in the GHG inventory.</t>
    </r>
  </si>
  <si>
    <r>
      <t>This report discusses sources of GHG emissions and quantifies likely GHG emissions in terms of CO</t>
    </r>
    <r>
      <rPr>
        <sz val="8"/>
        <color indexed="8"/>
        <rFont val="Arial"/>
        <family val="2"/>
      </rPr>
      <t>2</t>
    </r>
    <r>
      <rPr>
        <sz val="10"/>
        <color indexed="8"/>
        <rFont val="Arial"/>
        <family val="2"/>
      </rPr>
      <t>e from transportation, area sources, and electrical energy consumption.</t>
    </r>
  </si>
  <si>
    <r>
      <t>This report lists the annual CO</t>
    </r>
    <r>
      <rPr>
        <sz val="8"/>
        <color indexed="8"/>
        <rFont val="Arial"/>
        <family val="2"/>
      </rPr>
      <t>2</t>
    </r>
    <r>
      <rPr>
        <sz val="10"/>
        <color indexed="8"/>
        <rFont val="Arial"/>
        <family val="2"/>
      </rPr>
      <t xml:space="preserve"> emissions expected from construction (off-road diesel exhaust, worker trips, and vendor trips) and operations (natural gas usage, landscaping, architectural coatings, employee commute trips, outbound delivery truck trips, inbound receivable truck trips, on-site truck activity, and electricity consumption). </t>
    </r>
  </si>
  <si>
    <r>
      <t>This report lists the projected CO</t>
    </r>
    <r>
      <rPr>
        <sz val="8"/>
        <color indexed="8"/>
        <rFont val="Arial"/>
        <family val="2"/>
      </rPr>
      <t>2</t>
    </r>
    <r>
      <rPr>
        <sz val="10"/>
        <color indexed="8"/>
        <rFont val="Arial"/>
        <family val="2"/>
      </rPr>
      <t>, NO</t>
    </r>
    <r>
      <rPr>
        <sz val="8"/>
        <color indexed="8"/>
        <rFont val="Arial"/>
        <family val="2"/>
      </rPr>
      <t>2</t>
    </r>
    <r>
      <rPr>
        <sz val="10"/>
        <color indexed="8"/>
        <rFont val="Arial"/>
        <family val="2"/>
      </rPr>
      <t>, CH</t>
    </r>
    <r>
      <rPr>
        <sz val="8"/>
        <color indexed="8"/>
        <rFont val="Arial"/>
        <family val="2"/>
      </rPr>
      <t>4</t>
    </r>
    <r>
      <rPr>
        <sz val="10"/>
        <color indexed="8"/>
        <rFont val="Arial"/>
        <family val="2"/>
      </rPr>
      <t>, hydroflurocarbon, and total CO</t>
    </r>
    <r>
      <rPr>
        <sz val="8"/>
        <color indexed="8"/>
        <rFont val="Arial"/>
        <family val="2"/>
      </rPr>
      <t>2</t>
    </r>
    <r>
      <rPr>
        <sz val="10"/>
        <color indexed="8"/>
        <rFont val="Arial"/>
        <family val="2"/>
      </rPr>
      <t>e emissions from construction (exhaust), motor vehicles, natural gas, indirect electricity, hearth, water transport, landscape, and refrigerants.</t>
    </r>
  </si>
  <si>
    <r>
      <t>This report lists the CO</t>
    </r>
    <r>
      <rPr>
        <sz val="8"/>
        <color indexed="8"/>
        <rFont val="Arial"/>
        <family val="2"/>
      </rPr>
      <t>2</t>
    </r>
    <r>
      <rPr>
        <sz val="10"/>
        <color indexed="8"/>
        <rFont val="Arial"/>
        <family val="2"/>
      </rPr>
      <t xml:space="preserve"> emissions projected from demolition equipment and truck trips to haul debris.</t>
    </r>
  </si>
  <si>
    <r>
      <t>This report compares projections of CO</t>
    </r>
    <r>
      <rPr>
        <sz val="8"/>
        <color indexed="8"/>
        <rFont val="Arial"/>
        <family val="2"/>
      </rPr>
      <t>2</t>
    </r>
    <r>
      <rPr>
        <sz val="10"/>
        <color indexed="8"/>
        <rFont val="Arial"/>
        <family val="2"/>
      </rPr>
      <t xml:space="preserve"> emissions from vehicle use for the No-Project alternative, Alternative A, and Alternative B.  </t>
    </r>
  </si>
  <si>
    <r>
      <t>The report lists GHG emissions in CO</t>
    </r>
    <r>
      <rPr>
        <sz val="8"/>
        <color indexed="8"/>
        <rFont val="Arial"/>
        <family val="2"/>
      </rPr>
      <t>2</t>
    </r>
    <r>
      <rPr>
        <sz val="10"/>
        <color indexed="8"/>
        <rFont val="Arial"/>
        <family val="2"/>
      </rPr>
      <t>e projected for construction of the project's three roads.</t>
    </r>
  </si>
  <si>
    <r>
      <t>This report lists projected GHG emissions in terms of CO</t>
    </r>
    <r>
      <rPr>
        <sz val="8"/>
        <color indexed="8"/>
        <rFont val="Arial"/>
        <family val="2"/>
      </rPr>
      <t>2</t>
    </r>
    <r>
      <rPr>
        <sz val="10"/>
        <color indexed="8"/>
        <rFont val="Arial"/>
        <family val="2"/>
      </rPr>
      <t xml:space="preserve">e from electricity, natural gas, diesel fuel, digester gas, nitrification / de-nitrification. </t>
    </r>
  </si>
  <si>
    <r>
      <t>This report briefly lists the GHG emissions projected in terms of CO</t>
    </r>
    <r>
      <rPr>
        <sz val="8"/>
        <color indexed="8"/>
        <rFont val="Arial"/>
        <family val="2"/>
      </rPr>
      <t>2</t>
    </r>
    <r>
      <rPr>
        <sz val="10"/>
        <color indexed="8"/>
        <rFont val="Arial"/>
        <family val="2"/>
      </rPr>
      <t>e from operational emissions and amortized construction emissions.</t>
    </r>
  </si>
  <si>
    <t>This report lists relevant GHG emissions expected from operations (including leaks), vehicle use, and construction. It includes a one-paragraph discussion for each emissions source.</t>
  </si>
  <si>
    <r>
      <t>This report briefly lists the GHG emissions predicted in terms of CO</t>
    </r>
    <r>
      <rPr>
        <sz val="8"/>
        <color indexed="8"/>
        <rFont val="Arial"/>
        <family val="2"/>
      </rPr>
      <t>2</t>
    </r>
    <r>
      <rPr>
        <sz val="10"/>
        <color indexed="8"/>
        <rFont val="Arial"/>
        <family val="2"/>
      </rPr>
      <t>e from operational emissions and amortized construction emissions.</t>
    </r>
  </si>
  <si>
    <r>
      <t>This report discusses the proposed project's relationship with climate change in qualitative terms, and mentions specific quantitative estimates of GHG emissions in terms of CO</t>
    </r>
    <r>
      <rPr>
        <sz val="8"/>
        <color indexed="8"/>
        <rFont val="Arial"/>
        <family val="2"/>
      </rPr>
      <t>2</t>
    </r>
    <r>
      <rPr>
        <sz val="10"/>
        <color indexed="8"/>
        <rFont val="Arial"/>
        <family val="2"/>
      </rPr>
      <t xml:space="preserve">e for operations and construction. </t>
    </r>
  </si>
  <si>
    <r>
      <t>This report lists annual CO</t>
    </r>
    <r>
      <rPr>
        <sz val="8"/>
        <color indexed="8"/>
        <rFont val="Arial"/>
        <family val="2"/>
      </rPr>
      <t>2</t>
    </r>
    <r>
      <rPr>
        <sz val="10"/>
        <color indexed="8"/>
        <rFont val="Arial"/>
        <family val="2"/>
      </rPr>
      <t xml:space="preserve"> emissions expected from power consumption and diesel pump usage, and CO</t>
    </r>
    <r>
      <rPr>
        <sz val="8"/>
        <color indexed="8"/>
        <rFont val="Arial"/>
        <family val="2"/>
      </rPr>
      <t>2</t>
    </r>
    <r>
      <rPr>
        <sz val="10"/>
        <color indexed="8"/>
        <rFont val="Arial"/>
        <family val="2"/>
      </rPr>
      <t xml:space="preserve">e emissions from construction equipment, vehicles, and pumps. It also lists emissions reductions and offsets expected from riparian revegetation and fencing and water use efficiency and optional mitigation measures. </t>
    </r>
  </si>
  <si>
    <r>
      <t>This report discusses the project's relationship with climate change in qualitative terms, and mentions specific estimates of CO</t>
    </r>
    <r>
      <rPr>
        <sz val="8"/>
        <color indexed="8"/>
        <rFont val="Arial"/>
        <family val="2"/>
      </rPr>
      <t>2</t>
    </r>
    <r>
      <rPr>
        <sz val="10"/>
        <color indexed="8"/>
        <rFont val="Arial"/>
        <family val="2"/>
      </rPr>
      <t xml:space="preserve"> emissions from construction, operations and maintenance, and vegetation removal.</t>
    </r>
  </si>
  <si>
    <t>This report lists projections of the area's direct methane emissions, natural gas usage, electricity imported, haul vehicle usage, off-road equipment, light duty vehicles, and reductions from waste diversification.</t>
  </si>
  <si>
    <r>
      <t>This report lists the annual CO</t>
    </r>
    <r>
      <rPr>
        <sz val="8"/>
        <color indexed="8"/>
        <rFont val="Arial"/>
        <family val="2"/>
      </rPr>
      <t>2</t>
    </r>
    <r>
      <rPr>
        <sz val="10"/>
        <color indexed="8"/>
        <rFont val="Arial"/>
        <family val="2"/>
      </rPr>
      <t xml:space="preserve"> emissions anticipated from tests of backup generators, as well as the annual CO</t>
    </r>
    <r>
      <rPr>
        <sz val="8"/>
        <color indexed="8"/>
        <rFont val="Arial"/>
        <family val="2"/>
      </rPr>
      <t>2</t>
    </r>
    <r>
      <rPr>
        <sz val="10"/>
        <color indexed="8"/>
        <rFont val="Arial"/>
        <family val="2"/>
      </rPr>
      <t>e emissions from mobile sources, stationary sources, and purchased electricity.</t>
    </r>
  </si>
  <si>
    <t>This report calculates the likely CO2 emissions from area sources (fireplaces, wood burning stoves, etc.), utility usage, vehicle sources, and construction.</t>
  </si>
  <si>
    <t xml:space="preserve">This report lists the project's anticipated CO2e emissions in detail from direct area sources (natural gas, hearth, and landscape), electricity consumption, mobile emissions, and water processing. It also mentions the quantity of CO2e emissions expected from construction. </t>
  </si>
  <si>
    <t xml:space="preserve">This report's Final EIR revises earlier assessments and lists the project's impact on climate change as "significant." The Draft EIR lists the GHG emissions in CO2e for Phase 1 of the project with and without MOB and for subsequent build out. It includes operational (vehicle) emissions, space and water heating, indirect electricity, and generator testing. </t>
  </si>
  <si>
    <r>
      <t>This report lists the anticipated GHG emissions in CO</t>
    </r>
    <r>
      <rPr>
        <sz val="8"/>
        <color indexed="8"/>
        <rFont val="Arial"/>
        <family val="2"/>
      </rPr>
      <t>2</t>
    </r>
    <r>
      <rPr>
        <sz val="10"/>
        <color indexed="8"/>
        <rFont val="Arial"/>
        <family val="2"/>
      </rPr>
      <t xml:space="preserve">e from mining operations, including off-road equipment and on-road haul truck exhaust, employee vehicles, and indirect emissions from electricity generation. </t>
    </r>
  </si>
  <si>
    <r>
      <t>This report lists the projected CO</t>
    </r>
    <r>
      <rPr>
        <sz val="8"/>
        <color indexed="8"/>
        <rFont val="Arial"/>
        <family val="2"/>
      </rPr>
      <t>2</t>
    </r>
    <r>
      <rPr>
        <sz val="10"/>
        <color indexed="8"/>
        <rFont val="Arial"/>
        <family val="2"/>
      </rPr>
      <t xml:space="preserve"> emissions from mining, construction, and reclamation. It also includes an informative bar graph depicting emissions for thirty-six years of the project.</t>
    </r>
  </si>
  <si>
    <r>
      <t>This report calculates likely CO</t>
    </r>
    <r>
      <rPr>
        <sz val="8"/>
        <color indexed="8"/>
        <rFont val="Arial"/>
        <family val="2"/>
      </rPr>
      <t>2</t>
    </r>
    <r>
      <rPr>
        <sz val="10"/>
        <color indexed="8"/>
        <rFont val="Arial"/>
        <family val="2"/>
      </rPr>
      <t xml:space="preserve"> emissions from mining operations and vehicles use in Appendix A, and briefly discusses the results in the proposal. </t>
    </r>
  </si>
  <si>
    <r>
      <t>This report lists the CO</t>
    </r>
    <r>
      <rPr>
        <sz val="8"/>
        <color indexed="8"/>
        <rFont val="Arial"/>
        <family val="2"/>
      </rPr>
      <t>2</t>
    </r>
    <r>
      <rPr>
        <sz val="10"/>
        <color indexed="8"/>
        <rFont val="Arial"/>
        <family val="2"/>
      </rPr>
      <t>, CH</t>
    </r>
    <r>
      <rPr>
        <sz val="8"/>
        <color indexed="8"/>
        <rFont val="Arial"/>
        <family val="2"/>
      </rPr>
      <t>4</t>
    </r>
    <r>
      <rPr>
        <sz val="10"/>
        <color indexed="8"/>
        <rFont val="Arial"/>
        <family val="2"/>
      </rPr>
      <t>, N</t>
    </r>
    <r>
      <rPr>
        <sz val="8"/>
        <color indexed="8"/>
        <rFont val="Arial"/>
        <family val="2"/>
      </rPr>
      <t>2</t>
    </r>
    <r>
      <rPr>
        <sz val="10"/>
        <color indexed="8"/>
        <rFont val="Arial"/>
        <family val="2"/>
      </rPr>
      <t>O, and total CO</t>
    </r>
    <r>
      <rPr>
        <sz val="8"/>
        <color indexed="8"/>
        <rFont val="Arial"/>
        <family val="2"/>
      </rPr>
      <t>2</t>
    </r>
    <r>
      <rPr>
        <sz val="10"/>
        <color indexed="8"/>
        <rFont val="Arial"/>
        <family val="2"/>
      </rPr>
      <t xml:space="preserve">e emissions expected from exhaust emissions (on-site excavation and transportation equipment), worker vehicle trips, and quarry operational emissions. </t>
    </r>
  </si>
  <si>
    <r>
      <t>This report lists CO</t>
    </r>
    <r>
      <rPr>
        <sz val="8"/>
        <color indexed="8"/>
        <rFont val="Arial"/>
        <family val="2"/>
      </rPr>
      <t>2</t>
    </r>
    <r>
      <rPr>
        <sz val="10"/>
        <color indexed="8"/>
        <rFont val="Arial"/>
        <family val="2"/>
      </rPr>
      <t xml:space="preserve"> emissions predicted from construction under two scenarios. </t>
    </r>
  </si>
  <si>
    <t xml:space="preserve">This report lists CO2 emissions projected under the current general plan and the newly proposed plan from residential, retail, office, industrial, and school electricity consumption, residential and commercial water consumption, residential and commercial solid waste disposal, natural gas, hearth, and landscape maintenance, and vehicle trips. </t>
  </si>
  <si>
    <t>This report lists likely operational emissions under build out in 2025 of CO2, CH4, N2O, and total CO2e from area sources, water, wastewater, solid waste, electricity and transportation. It then projects CO2 emissions annually through 2024. It also considers the impact of climate change on the water supply in the Sacramento Valley.</t>
  </si>
  <si>
    <t>This report lists the GHG emissions anticipated in terms of CO2e from landfill gas emissions, on-site energy use, on-site equipment emissions, disposal vehicle/transportation emissions. It also lists the emission sources within each of these components in detail individually.</t>
  </si>
  <si>
    <t>This report's "Energy" section lists the reductions in vehicle miles traveled and energy use that will result from the BART's expansion, though it does not quantify GHG emissions. The "Air Quality" section considers the impact of climate change on heat waves and flooding, which impact BART performance.</t>
  </si>
  <si>
    <t xml:space="preserve">This report lists CO2, CH4, and N2O emissions expected from on-site and off-site sources during demolition and construction, indirect electric power consumed due to water loss and delivery, and direct emissions from fountain and reservoir water losses. </t>
  </si>
  <si>
    <r>
      <t>This report discusses likely sources of GHG emissions qualitatively, then lists tentative comparisons of total CO</t>
    </r>
    <r>
      <rPr>
        <sz val="8"/>
        <color indexed="8"/>
        <rFont val="Arial"/>
        <family val="2"/>
      </rPr>
      <t>2</t>
    </r>
    <r>
      <rPr>
        <sz val="10"/>
        <color indexed="8"/>
        <rFont val="Arial"/>
        <family val="2"/>
      </rPr>
      <t xml:space="preserve">e emissions from the proposed portfolios' electricity usage. </t>
    </r>
    <phoneticPr fontId="14" type="noConversion"/>
  </si>
  <si>
    <r>
      <t>This report lists CO</t>
    </r>
    <r>
      <rPr>
        <sz val="8"/>
        <color indexed="8"/>
        <rFont val="Arial"/>
        <family val="2"/>
      </rPr>
      <t>2</t>
    </r>
    <r>
      <rPr>
        <sz val="10"/>
        <color indexed="8"/>
        <rFont val="Arial"/>
        <family val="2"/>
      </rPr>
      <t>, CH</t>
    </r>
    <r>
      <rPr>
        <sz val="8"/>
        <color indexed="8"/>
        <rFont val="Arial"/>
        <family val="2"/>
      </rPr>
      <t>4</t>
    </r>
    <r>
      <rPr>
        <sz val="10"/>
        <color indexed="8"/>
        <rFont val="Arial"/>
        <family val="2"/>
      </rPr>
      <t>, N</t>
    </r>
    <r>
      <rPr>
        <sz val="8"/>
        <color indexed="8"/>
        <rFont val="Arial"/>
        <family val="2"/>
      </rPr>
      <t>2</t>
    </r>
    <r>
      <rPr>
        <sz val="10"/>
        <color indexed="8"/>
        <rFont val="Arial"/>
        <family val="2"/>
      </rPr>
      <t>O, and total CO</t>
    </r>
    <r>
      <rPr>
        <sz val="8"/>
        <color indexed="8"/>
        <rFont val="Arial"/>
        <family val="2"/>
      </rPr>
      <t>2</t>
    </r>
    <r>
      <rPr>
        <sz val="10"/>
        <color indexed="8"/>
        <rFont val="Arial"/>
        <family val="2"/>
      </rPr>
      <t>e emissions expected from diesel powered pumps, electric pumps, vehicle travel, and construction. It discusses the sources and calculations in great depth, and uses equations explicitly rather than modeling software.</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</si>
</sst>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u/>
      <sz val="11"/>
      <color indexed="12"/>
      <name val="Calibri"/>
      <family val="2"/>
    </font>
    <font>
      <sz val="10"/>
      <color indexed="8"/>
      <name val="Arial"/>
      <family val="2"/>
    </font>
    <font>
      <sz val="10"/>
      <color indexed="8"/>
      <name val="Arial"/>
      <family val="2"/>
    </font>
    <font>
      <u/>
      <sz val="10"/>
      <color indexed="12"/>
      <name val="Arial"/>
      <family val="2"/>
    </font>
    <font>
      <b/>
      <sz val="14"/>
      <color indexed="8"/>
      <name val="Arial"/>
      <family val="2"/>
    </font>
    <font>
      <b/>
      <sz val="11"/>
      <color theme="1"/>
      <name val="Calibri"/>
      <family val="2"/>
      <scheme val="minor"/>
    </font>
    <font>
      <b/>
      <sz val="10"/>
      <color indexed="8"/>
      <name val="Arial"/>
      <family val="2"/>
    </font>
    <font>
      <sz val="8"/>
      <color indexed="8"/>
      <name val="Arial"/>
      <family val="2"/>
    </font>
    <font>
      <b/>
      <u/>
      <sz val="10"/>
      <color indexed="8"/>
      <name val="Arial"/>
      <family val="2"/>
    </font>
    <font>
      <i/>
      <sz val="11"/>
      <color theme="1"/>
      <name val="Calibri"/>
      <family val="2"/>
      <scheme val="minor"/>
    </font>
    <font>
      <b/>
      <sz val="12"/>
      <color indexed="8"/>
      <name val="Arial"/>
      <family val="2"/>
    </font>
    <font>
      <b/>
      <sz val="10"/>
      <color indexed="8"/>
      <name val="Arial"/>
      <family val="2"/>
    </font>
    <font>
      <b/>
      <sz val="10"/>
      <name val="Arial"/>
      <family val="2"/>
    </font>
    <font>
      <sz val="8"/>
      <name val="Verdana"/>
    </font>
  </fonts>
  <fills count="13">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FF99"/>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rgb="FF92D050"/>
        <bgColor indexed="64"/>
      </patternFill>
    </fill>
    <fill>
      <patternFill patternType="solid">
        <fgColor rgb="FF66FFFF"/>
        <bgColor indexed="64"/>
      </patternFill>
    </fill>
    <fill>
      <patternFill patternType="solid">
        <fgColor rgb="FFFF3300"/>
        <bgColor indexed="64"/>
      </patternFill>
    </fill>
    <fill>
      <patternFill patternType="solid">
        <fgColor rgb="FFCC6600"/>
        <bgColor indexed="64"/>
      </patternFill>
    </fill>
    <fill>
      <patternFill patternType="solid">
        <fgColor indexed="2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63">
    <xf numFmtId="0" fontId="0" fillId="0" borderId="0" xfId="0"/>
    <xf numFmtId="0" fontId="0" fillId="0" borderId="0" xfId="0" applyAlignment="1">
      <alignment horizontal="center"/>
    </xf>
    <xf numFmtId="0" fontId="3" fillId="0" borderId="0" xfId="0" applyFont="1" applyAlignment="1">
      <alignment wrapText="1"/>
    </xf>
    <xf numFmtId="0" fontId="3" fillId="0" borderId="0" xfId="0" applyFont="1" applyAlignment="1">
      <alignment horizontal="center"/>
    </xf>
    <xf numFmtId="49" fontId="3" fillId="0" borderId="0" xfId="0" applyNumberFormat="1" applyFont="1" applyAlignment="1">
      <alignment horizontal="center"/>
    </xf>
    <xf numFmtId="0" fontId="4" fillId="0" borderId="0" xfId="1" applyFont="1" applyBorder="1" applyAlignment="1" applyProtection="1">
      <alignment horizontal="center"/>
    </xf>
    <xf numFmtId="0" fontId="5" fillId="0" borderId="1" xfId="0" applyFont="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4" fillId="0" borderId="0" xfId="1" applyFont="1" applyAlignment="1" applyProtection="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5" fillId="0" borderId="1" xfId="0" applyFont="1" applyBorder="1" applyAlignment="1">
      <alignment horizontal="center" vertical="center" wrapText="1"/>
    </xf>
    <xf numFmtId="0" fontId="0" fillId="0" borderId="0" xfId="0" applyAlignment="1">
      <alignment horizontal="left" vertical="center" wrapText="1"/>
    </xf>
    <xf numFmtId="49"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4" fillId="0" borderId="1" xfId="1" applyFont="1" applyBorder="1" applyAlignment="1" applyProtection="1">
      <alignment horizontal="left" vertical="center" wrapText="1"/>
    </xf>
    <xf numFmtId="0" fontId="4" fillId="0" borderId="1" xfId="1" applyFont="1" applyBorder="1" applyAlignment="1" applyProtection="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2" xfId="0" applyFont="1" applyBorder="1" applyAlignment="1">
      <alignment horizontal="center" vertical="center" wrapText="1"/>
    </xf>
    <xf numFmtId="0" fontId="4" fillId="0" borderId="2" xfId="1" applyFont="1" applyBorder="1" applyAlignment="1" applyProtection="1">
      <alignment horizontal="left" vertical="center" wrapText="1"/>
    </xf>
    <xf numFmtId="0" fontId="4" fillId="0" borderId="2" xfId="1" applyFont="1" applyBorder="1" applyAlignment="1" applyProtection="1">
      <alignment horizontal="center" vertical="center" wrapText="1"/>
    </xf>
    <xf numFmtId="0" fontId="3" fillId="0" borderId="2" xfId="0" applyFont="1" applyBorder="1" applyAlignment="1">
      <alignment horizontal="left" vertical="center" wrapText="1"/>
    </xf>
    <xf numFmtId="0" fontId="5" fillId="4" borderId="3" xfId="0" applyFont="1" applyFill="1" applyBorder="1" applyAlignment="1">
      <alignment horizontal="center" vertical="center" wrapText="1"/>
    </xf>
    <xf numFmtId="0" fontId="8" fillId="0" borderId="0" xfId="0" applyFont="1"/>
    <xf numFmtId="0" fontId="0" fillId="0" borderId="0" xfId="0" applyFont="1"/>
    <xf numFmtId="0" fontId="10" fillId="0" borderId="0" xfId="0" applyFont="1"/>
    <xf numFmtId="0" fontId="5" fillId="0" borderId="2" xfId="0" applyFont="1" applyBorder="1" applyAlignment="1">
      <alignment horizontal="center" vertical="center"/>
    </xf>
    <xf numFmtId="0" fontId="11" fillId="0" borderId="2" xfId="0" applyFont="1" applyBorder="1" applyAlignment="1">
      <alignment horizontal="center" vertical="center"/>
    </xf>
    <xf numFmtId="49" fontId="5" fillId="0" borderId="1" xfId="0" applyNumberFormat="1" applyFont="1" applyBorder="1" applyAlignment="1">
      <alignment horizontal="center" vertical="center"/>
    </xf>
    <xf numFmtId="0" fontId="12" fillId="5"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6" fillId="0" borderId="0" xfId="0" applyFont="1" applyAlignment="1">
      <alignment horizontal="center" vertical="center" wrapText="1"/>
    </xf>
    <xf numFmtId="0" fontId="13" fillId="0" borderId="0" xfId="0" applyFont="1" applyAlignment="1">
      <alignment horizontal="center" vertical="center" wrapText="1"/>
    </xf>
    <xf numFmtId="0" fontId="7" fillId="0" borderId="0" xfId="0" applyFont="1" applyAlignment="1">
      <alignment horizontal="center" vertical="center" wrapText="1"/>
    </xf>
    <xf numFmtId="0" fontId="7" fillId="12"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1" fillId="0" borderId="1" xfId="0" applyFont="1" applyBorder="1" applyAlignment="1">
      <alignment horizontal="center" vertical="center"/>
    </xf>
    <xf numFmtId="0" fontId="5" fillId="0" borderId="3" xfId="0" applyFont="1" applyBorder="1" applyAlignment="1">
      <alignment horizontal="center" vertical="center"/>
    </xf>
    <xf numFmtId="0" fontId="2" fillId="0" borderId="2"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vertical="center" wrapText="1"/>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colors>
    <mruColors>
      <color rgb="FF66FFFF"/>
      <color rgb="FFCC6600"/>
      <color rgb="FFFFA74F"/>
      <color rgb="FFFF9933"/>
      <color rgb="FFFFFF00"/>
      <color rgb="FFFF3300"/>
      <color rgb="FFCC66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M113"/>
  <sheetViews>
    <sheetView tabSelected="1" workbookViewId="0">
      <pane ySplit="2" topLeftCell="A3" activePane="bottomLeft" state="frozen"/>
      <selection pane="bottomLeft" sqref="A1:A2"/>
    </sheetView>
  </sheetViews>
  <sheetFormatPr defaultColWidth="8.85546875" defaultRowHeight="15" x14ac:dyDescent="0.25"/>
  <cols>
    <col min="1" max="1" width="19.28515625" style="45" customWidth="1"/>
    <col min="2" max="2" width="19" style="9" customWidth="1"/>
    <col min="3" max="3" width="23.42578125" style="7" customWidth="1"/>
    <col min="4" max="4" width="45.42578125" style="14" customWidth="1"/>
    <col min="5" max="5" width="13.28515625" style="9" customWidth="1"/>
    <col min="6" max="6" width="13.140625" style="1" customWidth="1"/>
    <col min="7" max="11" width="5.28515625" style="1" customWidth="1"/>
    <col min="12" max="12" width="63" customWidth="1"/>
  </cols>
  <sheetData>
    <row r="1" spans="1:13" ht="18" customHeight="1" thickBot="1" x14ac:dyDescent="0.3">
      <c r="A1" s="58" t="s">
        <v>21</v>
      </c>
      <c r="B1" s="56" t="s">
        <v>29</v>
      </c>
      <c r="C1" s="56" t="s">
        <v>28</v>
      </c>
      <c r="D1" s="58" t="s">
        <v>27</v>
      </c>
      <c r="E1" s="58" t="s">
        <v>131</v>
      </c>
      <c r="F1" s="58" t="s">
        <v>117</v>
      </c>
      <c r="G1" s="60" t="s">
        <v>169</v>
      </c>
      <c r="H1" s="61"/>
      <c r="I1" s="61"/>
      <c r="J1" s="61"/>
      <c r="K1" s="62"/>
      <c r="L1" s="58" t="s">
        <v>177</v>
      </c>
    </row>
    <row r="2" spans="1:13" ht="18.75" thickBot="1" x14ac:dyDescent="0.3">
      <c r="A2" s="59"/>
      <c r="B2" s="57"/>
      <c r="C2" s="57"/>
      <c r="D2" s="59"/>
      <c r="E2" s="59"/>
      <c r="F2" s="59"/>
      <c r="G2" s="26">
        <v>1</v>
      </c>
      <c r="H2" s="26">
        <v>2</v>
      </c>
      <c r="I2" s="26">
        <v>3</v>
      </c>
      <c r="J2" s="26">
        <v>4</v>
      </c>
      <c r="K2" s="26">
        <v>5</v>
      </c>
      <c r="L2" s="59"/>
    </row>
    <row r="3" spans="1:13" ht="51" x14ac:dyDescent="0.25">
      <c r="A3" s="33" t="s">
        <v>166</v>
      </c>
      <c r="B3" s="22" t="s">
        <v>30</v>
      </c>
      <c r="C3" s="22" t="s">
        <v>136</v>
      </c>
      <c r="D3" s="23" t="str">
        <f>HYPERLINK("http://www.lbl.gov/Community/SeismicPhase2B/index.html","Seismic Life Safety, Modernization, and Replacement of General Purpose Buildings, Phase 2 Project")</f>
        <v>Seismic Life Safety, Modernization, and Replacement of General Purpose Buildings, Phase 2 Project</v>
      </c>
      <c r="E3" s="24" t="str">
        <f>HYPERLINK("http://www.lbl.gov/Community/SeismicPhase2B/FinalEIR/3_Revisions.pdf","12")</f>
        <v>12</v>
      </c>
      <c r="F3" s="24" t="str">
        <f>HYPERLINK("http://www.lbl.gov/Community/SeismicPhase2B/assets/docs/LBNL_DEIR_Volume_I-C.pdf","135-40")</f>
        <v>135-40</v>
      </c>
      <c r="G3" s="30"/>
      <c r="H3" s="30" t="s">
        <v>120</v>
      </c>
      <c r="I3" s="30"/>
      <c r="J3" s="30" t="s">
        <v>120</v>
      </c>
      <c r="K3" s="30"/>
      <c r="L3" s="25" t="s">
        <v>178</v>
      </c>
    </row>
    <row r="4" spans="1:13" ht="38.25" x14ac:dyDescent="0.25">
      <c r="A4" s="33" t="s">
        <v>166</v>
      </c>
      <c r="B4" s="16" t="s">
        <v>37</v>
      </c>
      <c r="C4" s="16" t="s">
        <v>138</v>
      </c>
      <c r="D4" s="17" t="str">
        <f>HYPERLINK("http://www.ci.seaside.ca.us/index.aspx?page=200","The Projects at Main Gate")</f>
        <v>The Projects at Main Gate</v>
      </c>
      <c r="E4" s="18"/>
      <c r="F4" s="18" t="str">
        <f>HYPERLINK("http://www.acta.org/projects/projects_planning_SR47.asp","98, 107-10")</f>
        <v>98, 107-10</v>
      </c>
      <c r="G4" s="6" t="s">
        <v>120</v>
      </c>
      <c r="H4" s="6" t="s">
        <v>120</v>
      </c>
      <c r="I4" s="6" t="s">
        <v>120</v>
      </c>
      <c r="J4" s="6" t="s">
        <v>120</v>
      </c>
      <c r="K4" s="6"/>
      <c r="L4" s="19" t="s">
        <v>122</v>
      </c>
      <c r="M4" s="5"/>
    </row>
    <row r="5" spans="1:13" ht="38.25" x14ac:dyDescent="0.25">
      <c r="A5" s="33" t="s">
        <v>166</v>
      </c>
      <c r="B5" s="16" t="s">
        <v>39</v>
      </c>
      <c r="C5" s="16" t="s">
        <v>38</v>
      </c>
      <c r="D5" s="17" t="str">
        <f>HYPERLINK("http://www.placer.ca.gov/Departments/CommunityDevelopment/EnvCoordSvcs/EIR/BohemiaRetailProject/bohemiadrafteir.aspx","Bohemia Retail Project")</f>
        <v>Bohemia Retail Project</v>
      </c>
      <c r="E5" s="18"/>
      <c r="F5" s="18" t="str">
        <f>HYPERLINK("http://www.placer.ca.gov/Departments/CommunityDevelopment/EnvCoordSvcs/EIR/BohemiaRetailProject/~/media/cdr/ECS/EIR/BohemiaRetail/18_Cumulative_Impacts_and_Other_CEQA_Sections.ashx","53-9")</f>
        <v>53-9</v>
      </c>
      <c r="G5" s="6" t="s">
        <v>120</v>
      </c>
      <c r="H5" s="6" t="s">
        <v>120</v>
      </c>
      <c r="I5" s="6" t="s">
        <v>120</v>
      </c>
      <c r="J5" s="6"/>
      <c r="K5" s="6"/>
      <c r="L5" s="19" t="s">
        <v>126</v>
      </c>
    </row>
    <row r="6" spans="1:13" ht="25.5" x14ac:dyDescent="0.25">
      <c r="A6" s="33" t="s">
        <v>166</v>
      </c>
      <c r="B6" s="16" t="s">
        <v>40</v>
      </c>
      <c r="C6" s="16" t="s">
        <v>16</v>
      </c>
      <c r="D6" s="17" t="str">
        <f>HYPERLINK("http://www.weho.org/Modules/ShowDocument.aspx?documentid=4482","Monarch Fountain and La Brea Project")</f>
        <v>Monarch Fountain and La Brea Project</v>
      </c>
      <c r="E6" s="18"/>
      <c r="F6" s="18" t="str">
        <f>HYPERLINK("http://www.weho.org/ftp/files/planning/environmental/MonarchFountainLaBreaDraftEIR_(Volume%20I).pdf","166-173")</f>
        <v>166-173</v>
      </c>
      <c r="G6" s="6" t="s">
        <v>120</v>
      </c>
      <c r="H6" s="6" t="s">
        <v>120</v>
      </c>
      <c r="I6" s="6" t="s">
        <v>120</v>
      </c>
      <c r="J6" s="6" t="s">
        <v>120</v>
      </c>
      <c r="K6" s="6"/>
      <c r="L6" s="19" t="s">
        <v>179</v>
      </c>
      <c r="M6" s="27"/>
    </row>
    <row r="7" spans="1:13" ht="25.5" x14ac:dyDescent="0.25">
      <c r="A7" s="33" t="s">
        <v>166</v>
      </c>
      <c r="B7" s="20" t="s">
        <v>44</v>
      </c>
      <c r="C7" s="20" t="s">
        <v>45</v>
      </c>
      <c r="D7" s="17" t="str">
        <f>HYPERLINK("http://www.co.monterey.ca.us/planning/major/Harpercanyon/Harper_Canyon.htm","Harper Canyon / Encina Hills Subdivision RDEIR")</f>
        <v>Harper Canyon / Encina Hills Subdivision RDEIR</v>
      </c>
      <c r="E7" s="18"/>
      <c r="F7" s="18" t="str">
        <f>HYPERLINK("http://www.co.monterey.ca.us/planning/major/Harpercanyon/DEIR_Vol%20I_Haper_Canyon_101508.pdf","119-20")</f>
        <v>119-20</v>
      </c>
      <c r="G7" s="6" t="s">
        <v>120</v>
      </c>
      <c r="H7" s="6" t="s">
        <v>120</v>
      </c>
      <c r="I7" s="6" t="s">
        <v>120</v>
      </c>
      <c r="J7" s="6"/>
      <c r="K7" s="6"/>
      <c r="L7" s="19" t="s">
        <v>180</v>
      </c>
    </row>
    <row r="8" spans="1:13" ht="51" x14ac:dyDescent="0.25">
      <c r="A8" s="33" t="s">
        <v>166</v>
      </c>
      <c r="B8" s="16" t="s">
        <v>52</v>
      </c>
      <c r="C8" s="16" t="s">
        <v>141</v>
      </c>
      <c r="D8" s="17" t="str">
        <f>HYPERLINK("http://www.sonoraca.com/walmarteir.htm","Sonora Walmart Expansion Project")</f>
        <v>Sonora Walmart Expansion Project</v>
      </c>
      <c r="E8" s="18"/>
      <c r="F8" s="18" t="str">
        <f>HYPERLINK("http://www.sonoraca.com/33930003%20Sonora%20Walmart%20Expansion%20Project%20DEIR.pdf","149-50, 162-5")</f>
        <v>149-50, 162-5</v>
      </c>
      <c r="G8" s="6" t="s">
        <v>120</v>
      </c>
      <c r="H8" s="6" t="s">
        <v>120</v>
      </c>
      <c r="I8" s="6" t="s">
        <v>120</v>
      </c>
      <c r="J8" s="6" t="s">
        <v>120</v>
      </c>
      <c r="K8" s="6" t="s">
        <v>120</v>
      </c>
      <c r="L8" s="19" t="s">
        <v>181</v>
      </c>
    </row>
    <row r="9" spans="1:13" ht="38.25" x14ac:dyDescent="0.25">
      <c r="A9" s="33" t="s">
        <v>166</v>
      </c>
      <c r="B9" s="16" t="s">
        <v>26</v>
      </c>
      <c r="C9" s="20" t="s">
        <v>38</v>
      </c>
      <c r="D9" s="17" t="str">
        <f>HYPERLINK("http://www.placer.ca.gov/Departments/CommunityDevelopment/EnvCoordSvcs/EIR/RanchoDelOro/drafteir.aspx","Rancho Del Oro Estates")</f>
        <v>Rancho Del Oro Estates</v>
      </c>
      <c r="E9" s="18"/>
      <c r="F9" s="18" t="str">
        <f>HYPERLINK("http://www.placer.ca.gov/Departments/CommunityDevelopment/EnvCoordSvcs/EIR/RanchoDelOro/~/media/cdr/ECS/EIR/RanchoDelOro/16CumulativeImpactsAndOtherCEQASections.ashx","31-2")</f>
        <v>31-2</v>
      </c>
      <c r="G9" s="6" t="s">
        <v>120</v>
      </c>
      <c r="H9" s="6" t="s">
        <v>120</v>
      </c>
      <c r="I9" s="6" t="s">
        <v>120</v>
      </c>
      <c r="J9" s="6" t="s">
        <v>120</v>
      </c>
      <c r="K9" s="6"/>
      <c r="L9" s="19" t="s">
        <v>220</v>
      </c>
    </row>
    <row r="10" spans="1:13" ht="38.25" x14ac:dyDescent="0.25">
      <c r="A10" s="33" t="s">
        <v>166</v>
      </c>
      <c r="B10" s="16" t="s">
        <v>57</v>
      </c>
      <c r="C10" s="20" t="s">
        <v>56</v>
      </c>
      <c r="D10" s="17" t="str">
        <f>HYPERLINK("http://www.sonoma-county.org/prmd/docs/eir/sutterhospitaldeir/","Sutter Medical Center of Santa Rosa/Luther Burbank Memorial Foundation Joint Master Plan")</f>
        <v>Sutter Medical Center of Santa Rosa/Luther Burbank Memorial Foundation Joint Master Plan</v>
      </c>
      <c r="E10" s="18"/>
      <c r="F10" s="18" t="str">
        <f>HYPERLINK("http://www.sonoma-county.org/prmd/docs/eir/sutterhospitaldeir/sec_3_4_air.pdf","48-9")</f>
        <v>48-9</v>
      </c>
      <c r="G10" s="6" t="s">
        <v>120</v>
      </c>
      <c r="H10" s="6" t="s">
        <v>120</v>
      </c>
      <c r="I10" s="6" t="s">
        <v>120</v>
      </c>
      <c r="J10" s="6"/>
      <c r="K10" s="6"/>
      <c r="L10" s="19" t="s">
        <v>182</v>
      </c>
    </row>
    <row r="11" spans="1:13" ht="38.25" x14ac:dyDescent="0.25">
      <c r="A11" s="33" t="s">
        <v>166</v>
      </c>
      <c r="B11" s="16" t="s">
        <v>10</v>
      </c>
      <c r="C11" s="20" t="s">
        <v>144</v>
      </c>
      <c r="D11" s="17" t="str">
        <f>HYPERLINK("http://www.lasc.edu/about_lasc/about_lasc.html","Los Angeles Southwest College Facilities Master Plan Update")</f>
        <v>Los Angeles Southwest College Facilities Master Plan Update</v>
      </c>
      <c r="E11" s="18"/>
      <c r="F11" s="18" t="str">
        <f>HYPERLINK("http://www.lasc.edu/about_lasc/documents/Supplemental_Draft_EIR.pdf","70")</f>
        <v>70</v>
      </c>
      <c r="G11" s="32" t="s">
        <v>120</v>
      </c>
      <c r="H11" s="32" t="s">
        <v>120</v>
      </c>
      <c r="I11" s="32" t="s">
        <v>120</v>
      </c>
      <c r="J11" s="32"/>
      <c r="K11" s="32"/>
      <c r="L11" s="19" t="s">
        <v>183</v>
      </c>
    </row>
    <row r="12" spans="1:13" ht="51" x14ac:dyDescent="0.25">
      <c r="A12" s="33" t="s">
        <v>166</v>
      </c>
      <c r="B12" s="16" t="s">
        <v>60</v>
      </c>
      <c r="C12" s="16" t="s">
        <v>145</v>
      </c>
      <c r="D12" s="17" t="str">
        <f>HYPERLINK("http://www.ci.pleasanton.ca.us/business/planning/staplesranch/public/staples-ranch-public.html","Stoneridge Drive Specific Plan Amendment/Staples Ranch")</f>
        <v>Stoneridge Drive Specific Plan Amendment/Staples Ranch</v>
      </c>
      <c r="E12" s="18" t="str">
        <f>HYPERLINK("http://www.ci.pleasanton.ca.us/pdf/staples-finalseir.pdf","49-51")</f>
        <v>49-51</v>
      </c>
      <c r="F12" s="18"/>
      <c r="G12" s="6" t="s">
        <v>120</v>
      </c>
      <c r="H12" s="6" t="s">
        <v>120</v>
      </c>
      <c r="I12" s="6" t="s">
        <v>120</v>
      </c>
      <c r="J12" s="6" t="s">
        <v>120</v>
      </c>
      <c r="K12" s="6"/>
      <c r="L12" s="19" t="s">
        <v>221</v>
      </c>
    </row>
    <row r="13" spans="1:13" ht="25.5" x14ac:dyDescent="0.25">
      <c r="A13" s="33" t="s">
        <v>166</v>
      </c>
      <c r="B13" s="16" t="s">
        <v>62</v>
      </c>
      <c r="C13" s="20" t="s">
        <v>147</v>
      </c>
      <c r="D13" s="17" t="str">
        <f>HYPERLINK("http://www.co.solano.ca.us/depts/rm/documents/eir/middle_green_valley_specific_plan.asp","Middle Green Valley Specific Plan")</f>
        <v>Middle Green Valley Specific Plan</v>
      </c>
      <c r="E13" s="18"/>
      <c r="F13" s="18" t="str">
        <f>HYPERLINK("http://www.co.solano.ca.us/civica/filebank/blobdload.asp?BlobID=7781","13-7")</f>
        <v>13-7</v>
      </c>
      <c r="G13" s="6" t="s">
        <v>120</v>
      </c>
      <c r="H13" s="6" t="s">
        <v>120</v>
      </c>
      <c r="I13" s="6" t="s">
        <v>120</v>
      </c>
      <c r="J13" s="6" t="s">
        <v>120</v>
      </c>
      <c r="K13" s="6"/>
      <c r="L13" s="19" t="s">
        <v>187</v>
      </c>
    </row>
    <row r="14" spans="1:13" ht="63.75" x14ac:dyDescent="0.25">
      <c r="A14" s="33" t="s">
        <v>166</v>
      </c>
      <c r="B14" s="16" t="s">
        <v>63</v>
      </c>
      <c r="C14" s="16" t="s">
        <v>148</v>
      </c>
      <c r="D14" s="17" t="str">
        <f>HYPERLINK("http://www.oaklandnet.com/government/ceda/revised/planningzoning/majorProjectsSection/alta-bates-deir.asp","Alta Bates Summit Medical Center (ABSMC), Summit Campus Seismic Upgrade and Master Plan")</f>
        <v>Alta Bates Summit Medical Center (ABSMC), Summit Campus Seismic Upgrade and Master Plan</v>
      </c>
      <c r="E14" s="18" t="str">
        <f>HYPERLINK("http://www.oaklandnet.com/government/ceda/revised/planningzoning/majorProjectsSection/docs/ABSMC%20Responses%20to%20Comments%20and%20FEIR.pdf","17")</f>
        <v>17</v>
      </c>
      <c r="F14" s="18" t="str">
        <f>HYPERLINK("http://www.oaklandnet.com/government/ceda/revised/planningzoning/majorProjectsSection/AltaBates/DEIR/ch4_sec4-4_absmc-deir.pdf","49")</f>
        <v>49</v>
      </c>
      <c r="G14" s="6" t="s">
        <v>120</v>
      </c>
      <c r="H14" s="6" t="s">
        <v>120</v>
      </c>
      <c r="I14" s="6" t="s">
        <v>120</v>
      </c>
      <c r="J14" s="6"/>
      <c r="K14" s="6"/>
      <c r="L14" s="19" t="s">
        <v>222</v>
      </c>
    </row>
    <row r="15" spans="1:13" ht="38.25" x14ac:dyDescent="0.25">
      <c r="A15" s="33" t="s">
        <v>166</v>
      </c>
      <c r="B15" s="20" t="s">
        <v>66</v>
      </c>
      <c r="C15" s="16" t="s">
        <v>151</v>
      </c>
      <c r="D15" s="17" t="str">
        <f>HYPERLINK("http://www.newportbeachca.gov/index.aspx?page=1347","Marina Park")</f>
        <v>Marina Park</v>
      </c>
      <c r="E15" s="18" t="str">
        <f>HYPERLINK("http://www.city.newport-beach.ca.us/pln/CEQA_REVIEW/Marina%20Park%20-%20DEIR%20-%20DRER%20-%20Final%20EIR/Marina_Park%20-%20DREIR%20-%20January%202010/Marina_Park_DREIR%20-%20January%202010/10-Sec05-02_Air_Quality.pdf","31-8")</f>
        <v>31-8</v>
      </c>
      <c r="F15" s="18"/>
      <c r="G15" s="6" t="s">
        <v>120</v>
      </c>
      <c r="H15" s="6" t="s">
        <v>120</v>
      </c>
      <c r="I15" s="6" t="s">
        <v>120</v>
      </c>
      <c r="J15" s="6" t="s">
        <v>120</v>
      </c>
      <c r="K15" s="6"/>
      <c r="L15" s="19" t="s">
        <v>188</v>
      </c>
    </row>
    <row r="16" spans="1:13" ht="76.5" x14ac:dyDescent="0.25">
      <c r="A16" s="33" t="s">
        <v>166</v>
      </c>
      <c r="B16" s="16" t="s">
        <v>63</v>
      </c>
      <c r="C16" s="16" t="s">
        <v>148</v>
      </c>
      <c r="D16" s="17" t="str">
        <f>HYPERLINK("http://www2.oaklandnet.com/Government/o/CEDA/o/PlanningZoning/DOWD008402","Fruitvale Transit Village Phase 2")</f>
        <v>Fruitvale Transit Village Phase 2</v>
      </c>
      <c r="E16" s="18" t="str">
        <f>HYPERLINK("http://www2.oaklandnet.com/oakca/groups/ceda/documents/report/dowd008701.pdf","27-36")</f>
        <v>27-36</v>
      </c>
      <c r="F16" s="18" t="str">
        <f>HYPERLINK("http://www.oaklandnet.com/government/ceda/revised/planningzoning/MajorProjectsSection/docs/Fruitvale%20Transit%20DEIR%2001.14.10.pdf","115-6, 226-32")</f>
        <v>115-6, 226-32</v>
      </c>
      <c r="G16" s="6" t="s">
        <v>120</v>
      </c>
      <c r="H16" s="6" t="s">
        <v>120</v>
      </c>
      <c r="I16" s="6" t="s">
        <v>120</v>
      </c>
      <c r="J16" s="6" t="s">
        <v>120</v>
      </c>
      <c r="K16" s="6"/>
      <c r="L16" s="19" t="s">
        <v>174</v>
      </c>
    </row>
    <row r="17" spans="1:12" ht="102" x14ac:dyDescent="0.25">
      <c r="A17" s="33" t="s">
        <v>166</v>
      </c>
      <c r="B17" s="16" t="s">
        <v>53</v>
      </c>
      <c r="C17" s="16" t="s">
        <v>154</v>
      </c>
      <c r="D17" s="17" t="str">
        <f>HYPERLINK("http://www.portofsandiego.org/chula-vista-bayfront-master-plan/295-plan-devlopment-analysis-and-review.html#phase3-final-eir","Chula Vista Bayfront Master Plan and Port Master Plan Amendment")</f>
        <v>Chula Vista Bayfront Master Plan and Port Master Plan Amendment</v>
      </c>
      <c r="E17" s="18" t="str">
        <f>HYPERLINK("http://www.portofsandiego.org/docman/doc_download/2834-final-eir-volume-ii.html","879-93")</f>
        <v>879-93</v>
      </c>
      <c r="F17" s="18"/>
      <c r="G17" s="6" t="s">
        <v>120</v>
      </c>
      <c r="H17" s="6" t="s">
        <v>120</v>
      </c>
      <c r="I17" s="6" t="s">
        <v>120</v>
      </c>
      <c r="J17" s="6" t="s">
        <v>120</v>
      </c>
      <c r="K17" s="6" t="s">
        <v>120</v>
      </c>
      <c r="L17" s="19" t="s">
        <v>157</v>
      </c>
    </row>
    <row r="18" spans="1:12" ht="51" x14ac:dyDescent="0.25">
      <c r="A18" s="33" t="s">
        <v>166</v>
      </c>
      <c r="B18" s="16" t="s">
        <v>70</v>
      </c>
      <c r="C18" s="16" t="s">
        <v>155</v>
      </c>
      <c r="D18" s="17" t="str">
        <f>HYPERLINK("http://santaclaraca.gov/index.aspx?page=50&amp;recordid=540","Santa Clara de Asis Project")</f>
        <v>Santa Clara de Asis Project</v>
      </c>
      <c r="E18" s="18"/>
      <c r="F18" s="18" t="str">
        <f>HYPERLINK("http://santaclaraca.gov/ftp/csc/pdf/Santa-Clara-de-Asis-Draft-SEIR.pdf","52-7")</f>
        <v>52-7</v>
      </c>
      <c r="G18" s="6" t="s">
        <v>120</v>
      </c>
      <c r="H18" s="6" t="s">
        <v>120</v>
      </c>
      <c r="I18" s="6" t="s">
        <v>120</v>
      </c>
      <c r="J18" s="6" t="s">
        <v>120</v>
      </c>
      <c r="K18" s="6" t="s">
        <v>120</v>
      </c>
      <c r="L18" s="19" t="s">
        <v>124</v>
      </c>
    </row>
    <row r="19" spans="1:12" ht="76.5" x14ac:dyDescent="0.25">
      <c r="A19" s="33" t="s">
        <v>166</v>
      </c>
      <c r="B19" s="16" t="s">
        <v>73</v>
      </c>
      <c r="C19" s="16" t="s">
        <v>94</v>
      </c>
      <c r="D19" s="17" t="str">
        <f>HYPERLINK("http://www.menlopark.org/projects/comdev_iac_EIR.htm","Menlo Gateway Project")</f>
        <v>Menlo Gateway Project</v>
      </c>
      <c r="E19" s="18" t="str">
        <f>HYPERLINK("http://www.menlopark.org/departments/pln/bohannon/FEIR/menlo-gateway_feir_2_revisions.pdf","82-88")</f>
        <v>82-88</v>
      </c>
      <c r="F19" s="18" t="str">
        <f>HYPERLINK("http://www.menlopark.org/departments/pln/bohannon/DEIR/3-13-Climate-Change.pdf","19-24")</f>
        <v>19-24</v>
      </c>
      <c r="G19" s="32" t="s">
        <v>120</v>
      </c>
      <c r="H19" s="32" t="s">
        <v>120</v>
      </c>
      <c r="I19" s="32" t="s">
        <v>120</v>
      </c>
      <c r="J19" s="32" t="s">
        <v>120</v>
      </c>
      <c r="K19" s="32"/>
      <c r="L19" s="19" t="s">
        <v>158</v>
      </c>
    </row>
    <row r="20" spans="1:12" ht="38.25" x14ac:dyDescent="0.25">
      <c r="A20" s="33" t="s">
        <v>166</v>
      </c>
      <c r="B20" s="16" t="s">
        <v>26</v>
      </c>
      <c r="C20" s="20" t="s">
        <v>96</v>
      </c>
      <c r="D20" s="17" t="str">
        <f>HYPERLINK("http://www.co.amador.ca.us/index.aspx?page=702","Pine Acres North")</f>
        <v>Pine Acres North</v>
      </c>
      <c r="E20" s="18"/>
      <c r="F20" s="18" t="str">
        <f>HYPERLINK("http://www.co.amador.ca.us/Modules/ShowDocument.aspx?documentid=7013","24")</f>
        <v>24</v>
      </c>
      <c r="G20" s="6"/>
      <c r="H20" s="6"/>
      <c r="I20" s="6" t="s">
        <v>120</v>
      </c>
      <c r="J20" s="6"/>
      <c r="K20" s="6"/>
      <c r="L20" s="19" t="s">
        <v>159</v>
      </c>
    </row>
    <row r="21" spans="1:12" ht="38.25" x14ac:dyDescent="0.25">
      <c r="A21" s="33" t="s">
        <v>166</v>
      </c>
      <c r="B21" s="20" t="s">
        <v>80</v>
      </c>
      <c r="C21" s="16" t="s">
        <v>98</v>
      </c>
      <c r="D21" s="17" t="str">
        <f>HYPERLINK("http://www.huntingtonbeachca.gov/Government/Departments/Planning/major/BeachedgDEIR.cfm","Beach Edinger Corridors Specific Plan")</f>
        <v>Beach Edinger Corridors Specific Plan</v>
      </c>
      <c r="E21" s="18"/>
      <c r="F21" s="18" t="str">
        <f>HYPERLINK("http://www.huntingtonbeachca.gov/files/users/planning/BE_Sec4-15_ClimateChange.pdf","18-24")</f>
        <v>18-24</v>
      </c>
      <c r="G21" s="13" t="s">
        <v>120</v>
      </c>
      <c r="H21" s="13" t="s">
        <v>120</v>
      </c>
      <c r="I21" s="13" t="s">
        <v>120</v>
      </c>
      <c r="J21" s="13"/>
      <c r="K21" s="13"/>
      <c r="L21" s="19" t="s">
        <v>189</v>
      </c>
    </row>
    <row r="22" spans="1:12" ht="51" x14ac:dyDescent="0.25">
      <c r="A22" s="33" t="s">
        <v>166</v>
      </c>
      <c r="B22" s="20" t="s">
        <v>81</v>
      </c>
      <c r="C22" s="20" t="s">
        <v>155</v>
      </c>
      <c r="D22" s="17" t="str">
        <f>HYPERLINK("http://library.santaclaraca.gov/index.aspx?page=77&amp;recordid=334","Yahoo! Santa Clara Campus")</f>
        <v>Yahoo! Santa Clara Campus</v>
      </c>
      <c r="E22" s="18"/>
      <c r="F22" s="18" t="str">
        <f>HYPERLINK("http://library.santaclaraca.gov/ftp/csc/pdf/Yahoo-SC-Campus/DEIR/Yahoo-Draft-EIR.pdf","169-73")</f>
        <v>169-73</v>
      </c>
      <c r="G22" s="6" t="s">
        <v>120</v>
      </c>
      <c r="H22" s="6" t="s">
        <v>120</v>
      </c>
      <c r="I22" s="6" t="s">
        <v>120</v>
      </c>
      <c r="J22" s="6" t="s">
        <v>120</v>
      </c>
      <c r="K22" s="6"/>
      <c r="L22" s="19" t="s">
        <v>190</v>
      </c>
    </row>
    <row r="23" spans="1:12" ht="25.5" x14ac:dyDescent="0.25">
      <c r="A23" s="33" t="s">
        <v>166</v>
      </c>
      <c r="B23" s="20" t="s">
        <v>83</v>
      </c>
      <c r="C23" s="20" t="s">
        <v>99</v>
      </c>
      <c r="D23" s="17" t="str">
        <f>HYPERLINK("http://www.torranceca.gov/18284.htm","Rockefeller Group Professional Center Development")</f>
        <v>Rockefeller Group Professional Center Development</v>
      </c>
      <c r="E23" s="18" t="str">
        <f>HYPERLINK("http://www.torranceca.gov/PDF/Rockefeller_Group_Professional_Center_FEIR.pdf","214")</f>
        <v>214</v>
      </c>
      <c r="F23" s="18"/>
      <c r="G23" s="6" t="s">
        <v>120</v>
      </c>
      <c r="H23" s="6" t="s">
        <v>120</v>
      </c>
      <c r="I23" s="6" t="s">
        <v>120</v>
      </c>
      <c r="J23" s="6"/>
      <c r="K23" s="6"/>
      <c r="L23" s="19" t="s">
        <v>191</v>
      </c>
    </row>
    <row r="24" spans="1:12" ht="38.25" x14ac:dyDescent="0.25">
      <c r="A24" s="33" t="s">
        <v>166</v>
      </c>
      <c r="B24" s="20" t="s">
        <v>86</v>
      </c>
      <c r="C24" s="20" t="s">
        <v>102</v>
      </c>
      <c r="D24" s="17" t="str">
        <f>HYPERLINK("http://www.rpcity.org/index.aspx?page=447","Rohnert Park Walmart Expansion Project")</f>
        <v>Rohnert Park Walmart Expansion Project</v>
      </c>
      <c r="E24" s="18"/>
      <c r="F24" s="18" t="str">
        <f>HYPERLINK("http://www.rpcity.org/Modules/ShowDocument.aspx?documentid=2470","139-42")</f>
        <v>139-42</v>
      </c>
      <c r="G24" s="6" t="s">
        <v>120</v>
      </c>
      <c r="H24" s="6" t="s">
        <v>120</v>
      </c>
      <c r="I24" s="6" t="s">
        <v>120</v>
      </c>
      <c r="J24" s="6" t="s">
        <v>120</v>
      </c>
      <c r="K24" s="6"/>
      <c r="L24" s="19" t="s">
        <v>192</v>
      </c>
    </row>
    <row r="25" spans="1:12" ht="63.75" x14ac:dyDescent="0.25">
      <c r="A25" s="33" t="s">
        <v>166</v>
      </c>
      <c r="B25" s="20" t="s">
        <v>88</v>
      </c>
      <c r="C25" s="20" t="s">
        <v>87</v>
      </c>
      <c r="D25" s="21" t="s">
        <v>132</v>
      </c>
      <c r="E25" s="18" t="str">
        <f>HYPERLINK("http://www.webtaha.com/PDFs/Formation%20of%20the%20Wiseburn%20Unified%20School%20District%20Final%20EIR.pdf","100-3")</f>
        <v>100-3</v>
      </c>
      <c r="F25" s="18"/>
      <c r="G25" s="6" t="s">
        <v>120</v>
      </c>
      <c r="H25" s="6" t="s">
        <v>120</v>
      </c>
      <c r="I25" s="6" t="s">
        <v>120</v>
      </c>
      <c r="J25" s="6" t="s">
        <v>120</v>
      </c>
      <c r="K25" s="6"/>
      <c r="L25" s="19" t="s">
        <v>193</v>
      </c>
    </row>
    <row r="26" spans="1:12" ht="38.25" x14ac:dyDescent="0.25">
      <c r="A26" s="33" t="s">
        <v>166</v>
      </c>
      <c r="B26" s="20" t="s">
        <v>89</v>
      </c>
      <c r="C26" s="20" t="s">
        <v>144</v>
      </c>
      <c r="D26" s="17" t="str">
        <f>HYPERLINK("http://www.elac.edu/collegeservices/eir/sg/volumeI.htm","South Gate Educational Center")</f>
        <v>South Gate Educational Center</v>
      </c>
      <c r="E26" s="18"/>
      <c r="F26" s="18" t="str">
        <f>HYPERLINK("http://www.elac.edu/collegeservices/eir/sg/pdf/VolumeI/environmental_impacts.pdf","46-7")</f>
        <v>46-7</v>
      </c>
      <c r="G26" s="6" t="s">
        <v>120</v>
      </c>
      <c r="H26" s="6" t="s">
        <v>120</v>
      </c>
      <c r="I26" s="6" t="s">
        <v>120</v>
      </c>
      <c r="J26" s="6" t="s">
        <v>120</v>
      </c>
      <c r="K26" s="6"/>
      <c r="L26" s="19" t="s">
        <v>196</v>
      </c>
    </row>
    <row r="27" spans="1:12" ht="38.25" x14ac:dyDescent="0.25">
      <c r="A27" s="33" t="s">
        <v>166</v>
      </c>
      <c r="B27" s="20" t="s">
        <v>90</v>
      </c>
      <c r="C27" s="20" t="s">
        <v>103</v>
      </c>
      <c r="D27" s="17" t="str">
        <f>HYPERLINK("http://developmentservices.cityofoxnard.org/Department.aspx?DepartmentID=7&amp;DivisionID=76&amp;ResourceID=364","Ormond Beach Specific Plans")</f>
        <v>Ormond Beach Specific Plans</v>
      </c>
      <c r="E27" s="18" t="str">
        <f>HYPERLINK("http://developmentservices.cityofoxnard.org/Uploads/Planning/FEIR_vol_1/3.04%20Air%20Quality%20(OBSP%20FEIR%20November%202009).pdf","42-4")</f>
        <v>42-4</v>
      </c>
      <c r="F27" s="18"/>
      <c r="G27" s="6" t="s">
        <v>120</v>
      </c>
      <c r="H27" s="6"/>
      <c r="I27" s="6" t="s">
        <v>120</v>
      </c>
      <c r="J27" s="6" t="s">
        <v>120</v>
      </c>
      <c r="K27" s="6"/>
      <c r="L27" s="19" t="s">
        <v>197</v>
      </c>
    </row>
    <row r="28" spans="1:12" ht="51" x14ac:dyDescent="0.25">
      <c r="A28" s="33" t="s">
        <v>166</v>
      </c>
      <c r="B28" s="16" t="s">
        <v>66</v>
      </c>
      <c r="C28" s="16" t="s">
        <v>151</v>
      </c>
      <c r="D28" s="17" t="str">
        <f>HYPERLINK("http://www.city.newport-beach.ca.us/pln/CEQA_DOCS.asp?path=/City_Hall%20-%20DEIR/Proposed%20Final%20EIR%20-%20November%202009/Volume%201%20-%20Revised%20DEIR","Newport Beach City Hall and Park Development Plan")</f>
        <v>Newport Beach City Hall and Park Development Plan</v>
      </c>
      <c r="E28" s="18" t="str">
        <f>HYPERLINK("http://www.city.newport-beach.ca.us/pln/CEQA_REVIEW/City_Hall%20-%20DEIR/Proposed%20Final%20EIR%20-%20November%202009/Volume%201%20-%20Revised%20DEIR/4.8%20GCC.pdf","22-44")</f>
        <v>22-44</v>
      </c>
      <c r="F28" s="18"/>
      <c r="G28" s="6" t="s">
        <v>120</v>
      </c>
      <c r="H28" s="6" t="s">
        <v>120</v>
      </c>
      <c r="I28" s="6" t="s">
        <v>120</v>
      </c>
      <c r="J28" s="6" t="s">
        <v>120</v>
      </c>
      <c r="K28" s="6"/>
      <c r="L28" s="19" t="s">
        <v>198</v>
      </c>
    </row>
    <row r="29" spans="1:12" ht="25.5" x14ac:dyDescent="0.25">
      <c r="A29" s="33" t="s">
        <v>166</v>
      </c>
      <c r="B29" s="16" t="s">
        <v>10</v>
      </c>
      <c r="C29" s="20" t="s">
        <v>144</v>
      </c>
      <c r="D29" s="17" t="str">
        <f>HYPERLINK("http://www.lamission.edu/planning/","2009 Los Angeles Mission College (LAMC) Facilities Master Plan")</f>
        <v>2009 Los Angeles Mission College (LAMC) Facilities Master Plan</v>
      </c>
      <c r="E29" s="18"/>
      <c r="F29" s="18" t="str">
        <f>HYPERLINK("http://www.lamission.edu/planning/2009/Vol_1_Draft_SEIR/3.02%20Air%20Quality.pdf","11-26")</f>
        <v>11-26</v>
      </c>
      <c r="G29" s="6" t="s">
        <v>120</v>
      </c>
      <c r="H29" s="6"/>
      <c r="I29" s="6"/>
      <c r="J29" s="6" t="s">
        <v>120</v>
      </c>
      <c r="K29" s="6"/>
      <c r="L29" s="19" t="s">
        <v>199</v>
      </c>
    </row>
    <row r="30" spans="1:12" ht="51" x14ac:dyDescent="0.25">
      <c r="A30" s="33" t="s">
        <v>166</v>
      </c>
      <c r="B30" s="20" t="s">
        <v>0</v>
      </c>
      <c r="C30" s="20" t="s">
        <v>119</v>
      </c>
      <c r="D30" s="21" t="s">
        <v>133</v>
      </c>
      <c r="E30" s="18"/>
      <c r="F30" s="18" t="str">
        <f>HYPERLINK("http://www.ci.san-bernardino.ca.us/civica/filebank/blobdload.asp?BlobID=6903","129-41")</f>
        <v>129-41</v>
      </c>
      <c r="G30" s="6" t="s">
        <v>120</v>
      </c>
      <c r="H30" s="6" t="s">
        <v>120</v>
      </c>
      <c r="I30" s="6" t="s">
        <v>120</v>
      </c>
      <c r="J30" s="6" t="s">
        <v>120</v>
      </c>
      <c r="K30" s="6" t="s">
        <v>120</v>
      </c>
      <c r="L30" s="19" t="s">
        <v>200</v>
      </c>
    </row>
    <row r="31" spans="1:12" ht="51" x14ac:dyDescent="0.25">
      <c r="A31" s="33" t="s">
        <v>166</v>
      </c>
      <c r="B31" s="20" t="s">
        <v>1</v>
      </c>
      <c r="C31" s="20" t="s">
        <v>110</v>
      </c>
      <c r="D31" s="17" t="str">
        <f>HYPERLINK("http://www.san-marcos.net/index.aspx?page=325","University District Specific Plan")</f>
        <v>University District Specific Plan</v>
      </c>
      <c r="E31" s="18" t="str">
        <f>HYPERLINK("http://www.san-marcos.net/Modules/ShowDocument.aspx?documentid=2454","20-6")</f>
        <v>20-6</v>
      </c>
      <c r="F31" s="18"/>
      <c r="G31" s="6" t="s">
        <v>120</v>
      </c>
      <c r="H31" s="6" t="s">
        <v>120</v>
      </c>
      <c r="I31" s="6" t="s">
        <v>120</v>
      </c>
      <c r="J31" s="6" t="s">
        <v>120</v>
      </c>
      <c r="K31" s="6"/>
      <c r="L31" s="19" t="s">
        <v>201</v>
      </c>
    </row>
    <row r="32" spans="1:12" ht="38.25" x14ac:dyDescent="0.25">
      <c r="A32" s="33" t="s">
        <v>166</v>
      </c>
      <c r="B32" s="20" t="s">
        <v>2</v>
      </c>
      <c r="C32" s="16" t="s">
        <v>112</v>
      </c>
      <c r="D32" s="17" t="str">
        <f>HYPERLINK("http://www.ci.eureka.ca.gov/depts/cd/marina_center/draft_eir/default.asp","Marina Center")</f>
        <v>Marina Center</v>
      </c>
      <c r="E32" s="18" t="str">
        <f>HYPERLINK("http://www.ci.eureka.ca.gov/civica/filebank/blobdload.asp?BlobID=5660","11-2")</f>
        <v>11-2</v>
      </c>
      <c r="F32" s="18" t="str">
        <f>HYPERLINK("http://www.ci.eureka.ca.gov/civica/filebank/blobdload.asp?BlobID=5043","19-22")</f>
        <v>19-22</v>
      </c>
      <c r="G32" s="6" t="s">
        <v>120</v>
      </c>
      <c r="H32" s="6"/>
      <c r="I32" s="6" t="s">
        <v>120</v>
      </c>
      <c r="J32" s="6"/>
      <c r="K32" s="6"/>
      <c r="L32" s="19" t="s">
        <v>163</v>
      </c>
    </row>
    <row r="33" spans="1:12" ht="38.25" x14ac:dyDescent="0.25">
      <c r="A33" s="33" t="s">
        <v>166</v>
      </c>
      <c r="B33" s="20" t="s">
        <v>4</v>
      </c>
      <c r="C33" s="20" t="s">
        <v>5</v>
      </c>
      <c r="D33" s="17" t="str">
        <f>HYPERLINK("http://www.ci.manteca.ca.us/CommunityDevelopment/planningdivisiondocuments.html","Evans Estates-Pillsbury Estates")</f>
        <v>Evans Estates-Pillsbury Estates</v>
      </c>
      <c r="E33" s="18"/>
      <c r="F33" s="18" t="str">
        <f>HYPERLINK("http://www.ci.manteca.ca.us/CommunityDevelopment/Documents/Evans%20Estates-Pillsbury%20Estates%20Draft%20Environmental%20Impact%20R.pdf","112-24, 133")</f>
        <v>112-24, 133</v>
      </c>
      <c r="G33" s="6" t="s">
        <v>120</v>
      </c>
      <c r="H33" s="6" t="s">
        <v>120</v>
      </c>
      <c r="I33" s="6" t="s">
        <v>120</v>
      </c>
      <c r="J33" s="6" t="s">
        <v>120</v>
      </c>
      <c r="K33" s="6"/>
      <c r="L33" s="19" t="s">
        <v>202</v>
      </c>
    </row>
    <row r="34" spans="1:12" ht="63.75" x14ac:dyDescent="0.25">
      <c r="A34" s="33" t="s">
        <v>166</v>
      </c>
      <c r="B34" s="16" t="s">
        <v>26</v>
      </c>
      <c r="C34" s="20" t="s">
        <v>50</v>
      </c>
      <c r="D34" s="17" t="str">
        <f>HYPERLINK("http://www.tlma.co.riverside.ca.us/planning/content/temp/villages_of_lakeview.html","The Villages of Lakeview")</f>
        <v>The Villages of Lakeview</v>
      </c>
      <c r="E34" s="18"/>
      <c r="F34" s="18" t="str">
        <f>HYPERLINK("http://www.tlma.co.riverside.ca.us/planning/content/temp/villages_of_lakeview/vol_2_ann_deir.pdf","244-8, 292-312, 502-3")</f>
        <v>244-8, 292-312, 502-3</v>
      </c>
      <c r="G34" s="6" t="s">
        <v>120</v>
      </c>
      <c r="H34" s="6" t="s">
        <v>120</v>
      </c>
      <c r="I34" s="6" t="s">
        <v>120</v>
      </c>
      <c r="J34" s="6" t="s">
        <v>120</v>
      </c>
      <c r="K34" s="6" t="s">
        <v>120</v>
      </c>
      <c r="L34" s="19" t="s">
        <v>185</v>
      </c>
    </row>
    <row r="35" spans="1:12" ht="25.5" x14ac:dyDescent="0.25">
      <c r="A35" s="33" t="s">
        <v>166</v>
      </c>
      <c r="B35" s="16" t="s">
        <v>26</v>
      </c>
      <c r="C35" s="20" t="s">
        <v>10</v>
      </c>
      <c r="D35" s="17" t="str">
        <f>HYPERLINK("http://cityplanning.lacity.org/eir/ColumbiaSquare/DEIR/index.html","Columbia Square")</f>
        <v>Columbia Square</v>
      </c>
      <c r="E35" s="18"/>
      <c r="F35" s="18" t="str">
        <f>HYPERLINK("http://cityplanning.lacity.org/eir/ColumbiaSquare/DEIR/files/_B.%20Air%20Quality.pdf","62-4")</f>
        <v>62-4</v>
      </c>
      <c r="G35" s="6" t="s">
        <v>120</v>
      </c>
      <c r="H35" s="6" t="s">
        <v>120</v>
      </c>
      <c r="I35" s="6" t="s">
        <v>120</v>
      </c>
      <c r="J35" s="6"/>
      <c r="K35" s="6"/>
      <c r="L35" s="19" t="s">
        <v>186</v>
      </c>
    </row>
    <row r="36" spans="1:12" ht="63.75" x14ac:dyDescent="0.25">
      <c r="A36" s="33" t="s">
        <v>166</v>
      </c>
      <c r="B36" s="20" t="s">
        <v>10</v>
      </c>
      <c r="C36" s="20" t="s">
        <v>10</v>
      </c>
      <c r="D36" s="21" t="s">
        <v>134</v>
      </c>
      <c r="E36" s="18" t="str">
        <f>HYPERLINK("http://cityplanning.lacity.org/EIR/PlayaVista/FEIR_RS/issues/Volume%20I.pdf","43-7")</f>
        <v>43-7</v>
      </c>
      <c r="F36" s="18"/>
      <c r="G36" s="6" t="s">
        <v>120</v>
      </c>
      <c r="H36" s="6"/>
      <c r="I36" s="6" t="s">
        <v>120</v>
      </c>
      <c r="J36" s="6" t="s">
        <v>120</v>
      </c>
      <c r="K36" s="6"/>
      <c r="L36" s="19" t="s">
        <v>129</v>
      </c>
    </row>
    <row r="37" spans="1:12" ht="153" x14ac:dyDescent="0.25">
      <c r="A37" s="33" t="s">
        <v>166</v>
      </c>
      <c r="B37" s="16" t="s">
        <v>26</v>
      </c>
      <c r="C37" s="20" t="s">
        <v>58</v>
      </c>
      <c r="D37" s="17" t="str">
        <f>HYPERLINK("http://www.co.kern.ca.us/planning/eirs.asp","Tejon Mountain Village by TMV, LLC")</f>
        <v>Tejon Mountain Village by TMV, LLC</v>
      </c>
      <c r="E37" s="18" t="str">
        <f>HYPERLINK("http://www.co.kern.ca.us/planning/pdfs/eirs/TMV/TejonMountainVillage_RTC_part1.pdf","169-70, 259-68")</f>
        <v>169-70, 259-68</v>
      </c>
      <c r="F37" s="18" t="str">
        <f>HYPERLINK("http://www.co.kern.ca.us/planning/pdfs/eirs/TMV/TejonMountainVillageVolume1.pdf","567-90, 693-709")</f>
        <v>567-90, 693-709</v>
      </c>
      <c r="G37" s="13" t="s">
        <v>120</v>
      </c>
      <c r="H37" s="13" t="s">
        <v>120</v>
      </c>
      <c r="I37" s="13" t="s">
        <v>120</v>
      </c>
      <c r="J37" s="13" t="s">
        <v>120</v>
      </c>
      <c r="K37" s="13"/>
      <c r="L37" s="19" t="s">
        <v>204</v>
      </c>
    </row>
    <row r="38" spans="1:12" ht="38.25" x14ac:dyDescent="0.25">
      <c r="A38" s="33" t="s">
        <v>166</v>
      </c>
      <c r="B38" s="20" t="s">
        <v>12</v>
      </c>
      <c r="C38" s="20" t="s">
        <v>11</v>
      </c>
      <c r="D38" s="21" t="s">
        <v>135</v>
      </c>
      <c r="E38" s="18"/>
      <c r="F38" s="18" t="str">
        <f>HYPERLINK("http://www.ci.clovis.ca.us/SiteCollectionDocuments/PlanningDivision/Environmental/RTDEIR20090324.pdf","111-3")</f>
        <v>111-3</v>
      </c>
      <c r="G38" s="6" t="s">
        <v>120</v>
      </c>
      <c r="H38" s="6" t="s">
        <v>120</v>
      </c>
      <c r="I38" s="6" t="s">
        <v>120</v>
      </c>
      <c r="J38" s="6"/>
      <c r="K38" s="6"/>
      <c r="L38" s="19" t="s">
        <v>205</v>
      </c>
    </row>
    <row r="39" spans="1:12" ht="63.75" x14ac:dyDescent="0.25">
      <c r="A39" s="33" t="s">
        <v>166</v>
      </c>
      <c r="B39" s="20" t="s">
        <v>14</v>
      </c>
      <c r="C39" s="20" t="s">
        <v>115</v>
      </c>
      <c r="D39" s="17" t="str">
        <f>HYPERLINK("http://www.cityofmerced.org/depts/cd/planning/wal_mart_environmental_impact_report.asp","Wal-Mart Distribution Center")</f>
        <v>Wal-Mart Distribution Center</v>
      </c>
      <c r="E39" s="18" t="str">
        <f>HYPERLINK("http://www.cityofmerced.org/civica/filebank/blobdload.asp?BlobID=7668","71-5")</f>
        <v>71-5</v>
      </c>
      <c r="F39" s="18"/>
      <c r="G39" s="6" t="s">
        <v>120</v>
      </c>
      <c r="H39" s="6" t="s">
        <v>120</v>
      </c>
      <c r="I39" s="6" t="s">
        <v>120</v>
      </c>
      <c r="J39" s="6" t="s">
        <v>120</v>
      </c>
      <c r="K39" s="6"/>
      <c r="L39" s="19" t="s">
        <v>206</v>
      </c>
    </row>
    <row r="40" spans="1:12" ht="51" x14ac:dyDescent="0.25">
      <c r="A40" s="33" t="s">
        <v>166</v>
      </c>
      <c r="B40" s="20" t="s">
        <v>41</v>
      </c>
      <c r="C40" s="20" t="s">
        <v>58</v>
      </c>
      <c r="D40" s="17" t="str">
        <f>HYPERLINK("http://www.co.kern.ca.us/planning/eirs.asp","EIR 03-07 Specific Plan Amendment No 66 Map 101 Adoption of Specific Plan Line for Reina Road (SPA No67 Map101v. ZCNo160 Map101 Exclusion)")</f>
        <v>EIR 03-07 Specific Plan Amendment No 66 Map 101 Adoption of Specific Plan Line for Reina Road (SPA No67 Map101v. ZCNo160 Map101 Exclusion)</v>
      </c>
      <c r="E40" s="18"/>
      <c r="F40" s="18" t="str">
        <f>HYPERLINK("http://www.co.kern.ca.us/planning/pdfs/eirs/ReinaRanch/ReinaRanchProject_EIR.pdf","265-76")</f>
        <v>265-76</v>
      </c>
      <c r="G40" s="32" t="s">
        <v>120</v>
      </c>
      <c r="H40" s="32" t="s">
        <v>120</v>
      </c>
      <c r="I40" s="32" t="s">
        <v>120</v>
      </c>
      <c r="J40" s="32" t="s">
        <v>120</v>
      </c>
      <c r="K40" s="32"/>
      <c r="L40" s="19" t="s">
        <v>207</v>
      </c>
    </row>
    <row r="41" spans="1:12" ht="25.5" x14ac:dyDescent="0.25">
      <c r="A41" s="33" t="s">
        <v>166</v>
      </c>
      <c r="B41" s="20" t="s">
        <v>15</v>
      </c>
      <c r="C41" s="20" t="s">
        <v>116</v>
      </c>
      <c r="D41" s="17" t="str">
        <f>HYPERLINK("http://www.portofsandiego.org/2701-north-harbor-drive-demolition/1553-project-documents.html","2701 N. Harbor Drive Demolition Project")</f>
        <v>2701 N. Harbor Drive Demolition Project</v>
      </c>
      <c r="E41" s="18"/>
      <c r="F41" s="18" t="str">
        <f>HYPERLINK("http://www.portofsandiego.org/docman/doc_download/1953-2701-n-harbor-drive-draft-eir.html","120-5")</f>
        <v>120-5</v>
      </c>
      <c r="G41" s="6"/>
      <c r="H41" s="6"/>
      <c r="I41" s="6" t="s">
        <v>120</v>
      </c>
      <c r="J41" s="6" t="s">
        <v>120</v>
      </c>
      <c r="K41" s="6"/>
      <c r="L41" s="19" t="s">
        <v>208</v>
      </c>
    </row>
    <row r="42" spans="1:12" ht="25.5" x14ac:dyDescent="0.25">
      <c r="A42" s="33" t="s">
        <v>166</v>
      </c>
      <c r="B42" s="16" t="s">
        <v>55</v>
      </c>
      <c r="C42" s="20" t="s">
        <v>143</v>
      </c>
      <c r="D42" s="17" t="str">
        <f>HYPERLINK("http://www.ci.malibu.ca.us/index.cfm/fuseaction/DetailGroup/navid/458/cid/13321/","23915 Mailbu Road")</f>
        <v>23915 Mailbu Road</v>
      </c>
      <c r="E42" s="18" t="str">
        <f>HYPERLINK("http://www.ci.malibu.ca.us/download/index.cfm/fuseaction/download/cid/13345/","10-2")</f>
        <v>10-2</v>
      </c>
      <c r="F42" s="16"/>
      <c r="G42" s="6" t="s">
        <v>120</v>
      </c>
      <c r="H42" s="6"/>
      <c r="I42" s="6" t="s">
        <v>120</v>
      </c>
      <c r="J42" s="6"/>
      <c r="K42" s="6"/>
      <c r="L42" s="19" t="s">
        <v>194</v>
      </c>
    </row>
    <row r="43" spans="1:12" ht="25.5" x14ac:dyDescent="0.25">
      <c r="A43" s="33" t="s">
        <v>166</v>
      </c>
      <c r="B43" s="16" t="s">
        <v>17</v>
      </c>
      <c r="C43" s="20" t="s">
        <v>78</v>
      </c>
      <c r="D43" s="17" t="str">
        <f>HYPERLINK("http://www.sbcountyplanning.org/projects/02NEW-00138/index.cfm","Santa Barbara Botanic Garden Vital Mission Plan")</f>
        <v>Santa Barbara Botanic Garden Vital Mission Plan</v>
      </c>
      <c r="E43" s="18" t="str">
        <f>HYPERLINK("http://www.sbcountyplanning.org/pdf/projects/02NEW-00138/ProposedFEIR-July09/Volume_I/4.2_Air_Quality.pdf","12-4")</f>
        <v>12-4</v>
      </c>
      <c r="F43" s="16"/>
      <c r="G43" s="32"/>
      <c r="H43" s="32" t="s">
        <v>120</v>
      </c>
      <c r="I43" s="32" t="s">
        <v>120</v>
      </c>
      <c r="J43" s="32"/>
      <c r="K43" s="32"/>
      <c r="L43" s="19" t="s">
        <v>195</v>
      </c>
    </row>
    <row r="44" spans="1:12" ht="51" x14ac:dyDescent="0.25">
      <c r="A44" s="34" t="s">
        <v>31</v>
      </c>
      <c r="B44" s="20" t="s">
        <v>48</v>
      </c>
      <c r="C44" s="20" t="s">
        <v>47</v>
      </c>
      <c r="D44" s="17" t="str">
        <f>HYPERLINK("http://www.cpuc.ca.gov/environment/info/dudek/sngs/SNGS_Final_EIR.htm","Sacramento Natural Gas Storage Project, CPCN Application No. 07-04-013")</f>
        <v>Sacramento Natural Gas Storage Project, CPCN Application No. 07-04-013</v>
      </c>
      <c r="E44" s="18" t="str">
        <f>HYPERLINK("http://www.cpuc.ca.gov/environment/info/dudek/sngs/SectionD2AirQuality.pdf","36-8")</f>
        <v>36-8</v>
      </c>
      <c r="F44" s="18"/>
      <c r="G44" s="6" t="s">
        <v>120</v>
      </c>
      <c r="H44" s="6"/>
      <c r="I44" s="6" t="s">
        <v>120</v>
      </c>
      <c r="J44" s="6" t="s">
        <v>120</v>
      </c>
      <c r="K44" s="6"/>
      <c r="L44" s="19" t="s">
        <v>127</v>
      </c>
    </row>
    <row r="45" spans="1:12" ht="63.75" x14ac:dyDescent="0.25">
      <c r="A45" s="34" t="s">
        <v>31</v>
      </c>
      <c r="B45" s="20" t="s">
        <v>10</v>
      </c>
      <c r="C45" s="20" t="s">
        <v>107</v>
      </c>
      <c r="D45" s="17" t="str">
        <f>HYPERLINK("http://ourlax.org/NOP.cfm","Los Angeles International Airport (LAX) Central Utility Plant (CUP) Replacement Project")</f>
        <v>Los Angeles International Airport (LAX) Central Utility Plant (CUP) Replacement Project</v>
      </c>
      <c r="E45" s="18" t="str">
        <f>HYPERLINK("http://ourlax.org/pdf/Volume%203-150%20dpi.pdf","77-9")</f>
        <v>77-9</v>
      </c>
      <c r="F45" s="18" t="str">
        <f>HYPERLINK("http://ourlax.org/pdf/Volume%201-150dpi.pdf","210-25")</f>
        <v>210-25</v>
      </c>
      <c r="G45" s="6" t="s">
        <v>120</v>
      </c>
      <c r="H45" s="6"/>
      <c r="I45" s="6"/>
      <c r="J45" s="6" t="s">
        <v>120</v>
      </c>
      <c r="K45" s="6" t="s">
        <v>120</v>
      </c>
      <c r="L45" s="19" t="s">
        <v>184</v>
      </c>
    </row>
    <row r="46" spans="1:12" ht="25.5" x14ac:dyDescent="0.25">
      <c r="A46" s="34" t="s">
        <v>32</v>
      </c>
      <c r="B46" s="20" t="s">
        <v>85</v>
      </c>
      <c r="C46" s="20" t="s">
        <v>84</v>
      </c>
      <c r="D46" s="17" t="str">
        <f>HYPERLINK("http://www.smud.org/en/about/pages/reports-ceqa.aspx","Solano Wind Project Phase 3")</f>
        <v>Solano Wind Project Phase 3</v>
      </c>
      <c r="E46" s="18" t="str">
        <f>HYPERLINK("http://www.smud.org/en/about/Documents/ceqa-pdfs/new-EIR-Solano-feb10.pdf","85-6, 90")</f>
        <v>85-6, 90</v>
      </c>
      <c r="F46" s="18"/>
      <c r="G46" s="32"/>
      <c r="H46" s="32"/>
      <c r="I46" s="32"/>
      <c r="J46" s="32" t="s">
        <v>120</v>
      </c>
      <c r="K46" s="32"/>
      <c r="L46" s="19" t="s">
        <v>160</v>
      </c>
    </row>
    <row r="47" spans="1:12" ht="63.75" x14ac:dyDescent="0.25">
      <c r="A47" s="34" t="s">
        <v>33</v>
      </c>
      <c r="B47" s="20" t="s">
        <v>49</v>
      </c>
      <c r="C47" s="20" t="s">
        <v>47</v>
      </c>
      <c r="D47" s="17" t="str">
        <f>HYPERLINK("http://www.cpuc.ca.gov/Environment/info/ene/ivyglen/DEIR/DEIR_Index.htm","Valley-Ivyglen Subtransmission Line and Fogarty Substation Project ")</f>
        <v xml:space="preserve">Valley-Ivyglen Subtransmission Line and Fogarty Substation Project </v>
      </c>
      <c r="E47" s="18" t="str">
        <f>HYPERLINK("http://www.cpuc.ca.gov/Environment/info/ene/ivyglen/FEIR/4%20Revisions%20to%20the%20Draft%20EIR.pdf","1")</f>
        <v>1</v>
      </c>
      <c r="F47" s="18" t="str">
        <f>HYPERLINK("http://www.cpuc.ca.gov/Environment/info/ene/ivyglen/DEIR/D10%20Air%20Quality.pdf","18-20")</f>
        <v>18-20</v>
      </c>
      <c r="G47" s="6" t="s">
        <v>120</v>
      </c>
      <c r="H47" s="6"/>
      <c r="I47" s="6" t="s">
        <v>120</v>
      </c>
      <c r="J47" s="6" t="s">
        <v>120</v>
      </c>
      <c r="K47" s="6"/>
      <c r="L47" s="19" t="s">
        <v>128</v>
      </c>
    </row>
    <row r="48" spans="1:12" ht="51" x14ac:dyDescent="0.25">
      <c r="A48" s="34" t="s">
        <v>33</v>
      </c>
      <c r="B48" s="20" t="s">
        <v>74</v>
      </c>
      <c r="C48" s="20" t="s">
        <v>47</v>
      </c>
      <c r="D48" s="17" t="str">
        <f>HYPERLINK("http://www.cpuc.ca.gov/Environment/info/esa/devers-mirage/deir_toc.html","Southern California Edison Devers-Mirage 115 kV Subtransmission System Split")</f>
        <v>Southern California Edison Devers-Mirage 115 kV Subtransmission System Split</v>
      </c>
      <c r="E48" s="18"/>
      <c r="F48" s="18" t="str">
        <f>HYPERLINK("http://www.cpuc.ca.gov/Environment/info/esa/devers-mirage/deir/ch4_03_air_quality.pdf","37")</f>
        <v>37</v>
      </c>
      <c r="G48" s="6" t="s">
        <v>120</v>
      </c>
      <c r="H48" s="6"/>
      <c r="I48" s="6"/>
      <c r="J48" s="6" t="s">
        <v>120</v>
      </c>
      <c r="K48" s="6"/>
      <c r="L48" s="19" t="s">
        <v>212</v>
      </c>
    </row>
    <row r="49" spans="1:12" ht="38.25" x14ac:dyDescent="0.25">
      <c r="A49" s="34" t="s">
        <v>33</v>
      </c>
      <c r="B49" s="20" t="s">
        <v>51</v>
      </c>
      <c r="C49" s="20" t="s">
        <v>47</v>
      </c>
      <c r="D49" s="17" t="str">
        <f>HYPERLINK("http://www.cpuc.ca.gov/Environment/info/ene/triton/Triton.html","Triton Substation Project")</f>
        <v>Triton Substation Project</v>
      </c>
      <c r="E49" s="18" t="str">
        <f>HYPERLINK("http://www.cpuc.ca.gov/Environment/info/ene/triton/Triton%20Final%20IS%203%20Enviro%20Impacts.pdf","42-5")</f>
        <v>42-5</v>
      </c>
      <c r="F49" s="18"/>
      <c r="G49" s="6" t="s">
        <v>120</v>
      </c>
      <c r="H49" s="6"/>
      <c r="I49" s="6" t="s">
        <v>120</v>
      </c>
      <c r="J49" s="6" t="s">
        <v>120</v>
      </c>
      <c r="K49" s="6"/>
      <c r="L49" s="19" t="s">
        <v>213</v>
      </c>
    </row>
    <row r="50" spans="1:12" ht="25.5" x14ac:dyDescent="0.25">
      <c r="A50" s="34" t="s">
        <v>33</v>
      </c>
      <c r="B50" s="20" t="s">
        <v>82</v>
      </c>
      <c r="C50" s="20" t="s">
        <v>47</v>
      </c>
      <c r="D50" s="17" t="str">
        <f>HYPERLINK("http://www.cpuc.ca.gov/Environment/info/esa/sjxvl/deir_toc.html","San Joaquin Cross Valley Loop Transmission Project")</f>
        <v>San Joaquin Cross Valley Loop Transmission Project</v>
      </c>
      <c r="E50" s="18"/>
      <c r="F50" s="18" t="str">
        <f>HYPERLINK("http://www.cpuc.ca.gov/Environment/info/esa/sjxvl/deir/c4_03_airqual.pdf","24-6")</f>
        <v>24-6</v>
      </c>
      <c r="G50" s="6" t="s">
        <v>120</v>
      </c>
      <c r="H50" s="6"/>
      <c r="I50" s="6"/>
      <c r="J50" s="6" t="s">
        <v>120</v>
      </c>
      <c r="K50" s="6"/>
      <c r="L50" s="19" t="s">
        <v>214</v>
      </c>
    </row>
    <row r="51" spans="1:12" ht="38.25" x14ac:dyDescent="0.25">
      <c r="A51" s="34" t="s">
        <v>33</v>
      </c>
      <c r="B51" s="20" t="s">
        <v>91</v>
      </c>
      <c r="C51" s="20" t="s">
        <v>106</v>
      </c>
      <c r="D51" s="17" t="str">
        <f>HYPERLINK("http://www.tid.org/Power/CurrentProjects/Hughson-GraysonProject/index.htm","Hughson-Grayson 115-kV Transmission Line &amp; Substation Project")</f>
        <v>Hughson-Grayson 115-kV Transmission Line &amp; Substation Project</v>
      </c>
      <c r="E51" s="18"/>
      <c r="F51" s="18" t="str">
        <f>HYPERLINK("http://www.tid.org/Power/CurrentProjects/Hughson-GraysonProject/TIDWeb_DEIR_Hughson_Grayson","180-3")</f>
        <v>180-3</v>
      </c>
      <c r="G51" s="6" t="s">
        <v>120</v>
      </c>
      <c r="H51" s="6"/>
      <c r="I51" s="6"/>
      <c r="J51" s="6" t="s">
        <v>120</v>
      </c>
      <c r="K51" s="6"/>
      <c r="L51" s="19" t="s">
        <v>215</v>
      </c>
    </row>
    <row r="52" spans="1:12" ht="63.75" x14ac:dyDescent="0.25">
      <c r="A52" s="35" t="s">
        <v>34</v>
      </c>
      <c r="B52" s="20" t="s">
        <v>7</v>
      </c>
      <c r="C52" s="20" t="s">
        <v>113</v>
      </c>
      <c r="D52" s="17" t="str">
        <f>HYPERLINK("http://www.dfg.ca.gov/regions/1/ShastaScott/ShastaRiverEIR/","Shasta River Watershed-Wide Permitting Program")</f>
        <v>Shasta River Watershed-Wide Permitting Program</v>
      </c>
      <c r="E52" s="18"/>
      <c r="F52" s="18" t="str">
        <f>HYPERLINK("http://www.dfg.ca.gov/regions/1/ShastaScott/ShastaRiverEIR/vol1-shasta_ch3-7.pdf","9-17")</f>
        <v>9-17</v>
      </c>
      <c r="G52" s="6" t="s">
        <v>120</v>
      </c>
      <c r="H52" s="6" t="s">
        <v>120</v>
      </c>
      <c r="I52" s="6" t="s">
        <v>120</v>
      </c>
      <c r="J52" s="6" t="s">
        <v>120</v>
      </c>
      <c r="K52" s="6"/>
      <c r="L52" s="19" t="s">
        <v>216</v>
      </c>
    </row>
    <row r="53" spans="1:12" ht="63.75" x14ac:dyDescent="0.25">
      <c r="A53" s="35" t="s">
        <v>34</v>
      </c>
      <c r="B53" s="16" t="s">
        <v>26</v>
      </c>
      <c r="C53" s="20" t="s">
        <v>113</v>
      </c>
      <c r="D53" s="17" t="str">
        <f>HYPERLINK("http://www.dfg.ca.gov/regions/1/ShastaScott/ScottRiverEIR/","Scott River Watershed-wide Permitting Program")</f>
        <v>Scott River Watershed-wide Permitting Program</v>
      </c>
      <c r="E53" s="18"/>
      <c r="F53" s="18" t="str">
        <f>HYPERLINK("http://www.dfg.ca.gov/regions/1/ShastaScott/ScottRiverEIR/vol1-scott_ch3-7.pdf","12-20")</f>
        <v>12-20</v>
      </c>
      <c r="G53" s="6" t="s">
        <v>120</v>
      </c>
      <c r="H53" s="6" t="s">
        <v>120</v>
      </c>
      <c r="I53" s="6" t="s">
        <v>120</v>
      </c>
      <c r="J53" s="6" t="s">
        <v>120</v>
      </c>
      <c r="K53" s="6"/>
      <c r="L53" s="19" t="s">
        <v>216</v>
      </c>
    </row>
    <row r="54" spans="1:12" ht="38.25" x14ac:dyDescent="0.25">
      <c r="A54" s="36" t="s">
        <v>23</v>
      </c>
      <c r="B54" s="20" t="s">
        <v>93</v>
      </c>
      <c r="C54" s="20" t="s">
        <v>109</v>
      </c>
      <c r="D54" s="17" t="str">
        <f>HYPERLINK("http://www.valleywater.org/services/AlvisoSlough.aspx","Alviso Slough Restoration Project-Recirculated DEIR Section 3.2 (Water and Sediment Quality)")</f>
        <v>Alviso Slough Restoration Project-Recirculated DEIR Section 3.2 (Water and Sediment Quality)</v>
      </c>
      <c r="E54" s="18" t="str">
        <f>HYPERLINK("http://www.valleywater.org/Services/Healthy_Creeks_and_Ecosystems/Watershed_Information/Guadalupe/Alviso_Slough/Alviso_Slough_Restoration_Project_Final_EIR_Vol._1.aspx","642-5")</f>
        <v>642-5</v>
      </c>
      <c r="F54" s="18"/>
      <c r="G54" s="6" t="s">
        <v>120</v>
      </c>
      <c r="H54" s="6"/>
      <c r="I54" s="6"/>
      <c r="J54" s="6" t="s">
        <v>120</v>
      </c>
      <c r="K54" s="6"/>
      <c r="L54" s="19" t="s">
        <v>217</v>
      </c>
    </row>
    <row r="55" spans="1:12" ht="38.25" x14ac:dyDescent="0.25">
      <c r="A55" s="37" t="s">
        <v>42</v>
      </c>
      <c r="B55" s="16" t="s">
        <v>59</v>
      </c>
      <c r="C55" s="16" t="s">
        <v>58</v>
      </c>
      <c r="D55" s="17" t="str">
        <f>HYPERLINK("http://www.co.kern.ca.us/planning/eirs.asp","Taft Sanitary Landfill Permit Revision (GPA 2, CUP 1, Map 138; SWFP Revision; WDRs)")</f>
        <v>Taft Sanitary Landfill Permit Revision (GPA 2, CUP 1, Map 138; SWFP Revision; WDRs)</v>
      </c>
      <c r="E55" s="18"/>
      <c r="F55" s="18" t="str">
        <f>HYPERLINK("http://www.co.kern.ca.us/planning/pdfs/eirs/Taft_Landfill/taft_landfill_ch4.pdf","132-9")</f>
        <v>132-9</v>
      </c>
      <c r="G55" s="6" t="s">
        <v>120</v>
      </c>
      <c r="H55" s="6" t="s">
        <v>120</v>
      </c>
      <c r="I55" s="6" t="s">
        <v>120</v>
      </c>
      <c r="J55" s="6"/>
      <c r="K55" s="6"/>
      <c r="L55" s="19" t="s">
        <v>218</v>
      </c>
    </row>
    <row r="56" spans="1:12" ht="63.75" x14ac:dyDescent="0.25">
      <c r="A56" s="37" t="s">
        <v>42</v>
      </c>
      <c r="B56" s="20" t="s">
        <v>64</v>
      </c>
      <c r="C56" s="16" t="s">
        <v>149</v>
      </c>
      <c r="D56" s="17" t="str">
        <f>HYPERLINK("http://www.rcgeneralplan.com/news.php","Rancho Cucamonga 2010 General Plan Update")</f>
        <v>Rancho Cucamonga 2010 General Plan Update</v>
      </c>
      <c r="E56" s="18"/>
      <c r="F56" s="18" t="str">
        <f>HYPERLINK("http://www.rcgeneralplan.com/request.php?35","288")</f>
        <v>288</v>
      </c>
      <c r="G56" s="6" t="s">
        <v>120</v>
      </c>
      <c r="H56" s="6" t="s">
        <v>120</v>
      </c>
      <c r="I56" s="6" t="s">
        <v>120</v>
      </c>
      <c r="J56" s="6"/>
      <c r="K56" s="6"/>
      <c r="L56" s="19" t="s">
        <v>228</v>
      </c>
    </row>
    <row r="57" spans="1:12" ht="38.25" x14ac:dyDescent="0.25">
      <c r="A57" s="37" t="s">
        <v>42</v>
      </c>
      <c r="B57" s="16" t="s">
        <v>65</v>
      </c>
      <c r="C57" s="16" t="s">
        <v>150</v>
      </c>
      <c r="D57" s="17" t="str">
        <f>HYPERLINK("http://www.shapethefuture2025.net/","City of Santa Monica Land Use and Circulation Element")</f>
        <v>City of Santa Monica Land Use and Circulation Element</v>
      </c>
      <c r="E57" s="18" t="str">
        <f>HYPERLINK("http://www.shapethefuture2025.net/PDF/eir/luce_feir_I.pdf","768-71")</f>
        <v>768-71</v>
      </c>
      <c r="F57" s="18"/>
      <c r="G57" s="6" t="s">
        <v>120</v>
      </c>
      <c r="H57" s="6" t="s">
        <v>120</v>
      </c>
      <c r="I57" s="6" t="s">
        <v>120</v>
      </c>
      <c r="J57" s="6"/>
      <c r="K57" s="6"/>
      <c r="L57" s="19" t="s">
        <v>203</v>
      </c>
    </row>
    <row r="58" spans="1:12" ht="63.75" x14ac:dyDescent="0.25">
      <c r="A58" s="37" t="s">
        <v>42</v>
      </c>
      <c r="B58" s="16" t="s">
        <v>69</v>
      </c>
      <c r="C58" s="16" t="s">
        <v>153</v>
      </c>
      <c r="D58" s="17" t="str">
        <f>HYPERLINK("http://www.roseville.ca.us/planning/planning_document_library/specific_plans.asp","Sierra Vista Specific Plan, Annexation, General Plan Amendment and Sphere of Influence Amendment")</f>
        <v>Sierra Vista Specific Plan, Annexation, General Plan Amendment and Sphere of Influence Amendment</v>
      </c>
      <c r="E58" s="18" t="str">
        <f>HYPERLINK("http://www.roseville.ca.us/civica/filebank/blobdload.asp?BlobID=17196","30-2, 37-8")</f>
        <v>30-2, 37-8</v>
      </c>
      <c r="F58" s="18"/>
      <c r="G58" s="6" t="s">
        <v>120</v>
      </c>
      <c r="H58" s="6" t="s">
        <v>120</v>
      </c>
      <c r="I58" s="6" t="s">
        <v>120</v>
      </c>
      <c r="J58" s="6"/>
      <c r="K58" s="6" t="s">
        <v>120</v>
      </c>
      <c r="L58" s="19" t="s">
        <v>229</v>
      </c>
    </row>
    <row r="59" spans="1:12" ht="38.25" x14ac:dyDescent="0.25">
      <c r="A59" s="37" t="s">
        <v>42</v>
      </c>
      <c r="B59" s="20" t="s">
        <v>92</v>
      </c>
      <c r="C59" s="16" t="s">
        <v>108</v>
      </c>
      <c r="D59" s="17" t="str">
        <f>HYPERLINK("http://www.grover.org/commdev.htm","City of Grover Beach Land Use Element Update")</f>
        <v>City of Grover Beach Land Use Element Update</v>
      </c>
      <c r="E59" s="18"/>
      <c r="F59" s="18" t="str">
        <f>HYPERLINK("http://www.grover.org/pdf/GeneralPlan_LUEUpdate_DraftMEIR_July2009.pdf","140-4")</f>
        <v>140-4</v>
      </c>
      <c r="G59" s="32"/>
      <c r="H59" s="32"/>
      <c r="I59" s="32" t="s">
        <v>120</v>
      </c>
      <c r="J59" s="32"/>
      <c r="K59" s="32" t="s">
        <v>120</v>
      </c>
      <c r="L59" s="19" t="s">
        <v>20</v>
      </c>
    </row>
    <row r="60" spans="1:12" ht="38.25" x14ac:dyDescent="0.25">
      <c r="A60" s="38" t="s">
        <v>25</v>
      </c>
      <c r="B60" s="16" t="s">
        <v>61</v>
      </c>
      <c r="C60" s="20" t="s">
        <v>146</v>
      </c>
      <c r="D60" s="17" t="str">
        <f>HYPERLINK("http://www.co.mendocino.ca.us/planning/KunzlerMine.htm","Kunzler Terrace Mine Project")</f>
        <v>Kunzler Terrace Mine Project</v>
      </c>
      <c r="E60" s="18"/>
      <c r="F60" s="18" t="str">
        <f>HYPERLINK("http://www.co.mendocino.ca.us/planning/pdf/Environmental_setting._impacts._mitigation.pdf","46-9")</f>
        <v>46-9</v>
      </c>
      <c r="G60" s="6" t="s">
        <v>120</v>
      </c>
      <c r="H60" s="6" t="s">
        <v>120</v>
      </c>
      <c r="I60" s="6" t="s">
        <v>120</v>
      </c>
      <c r="J60" s="6"/>
      <c r="K60" s="6"/>
      <c r="L60" s="19" t="s">
        <v>223</v>
      </c>
    </row>
    <row r="61" spans="1:12" ht="38.25" x14ac:dyDescent="0.25">
      <c r="A61" s="38" t="s">
        <v>25</v>
      </c>
      <c r="B61" s="20" t="s">
        <v>76</v>
      </c>
      <c r="C61" s="20" t="s">
        <v>58</v>
      </c>
      <c r="D61" s="17" t="str">
        <f>HYPERLINK("http://www.co.kern.ca.us/planning/eirs.asp","EIR 01-08 SFD, Soledad Mountain Project by Golden Queen Mining Co., Inc.")</f>
        <v>EIR 01-08 SFD, Soledad Mountain Project by Golden Queen Mining Co., Inc.</v>
      </c>
      <c r="E61" s="18"/>
      <c r="F61" s="18" t="str">
        <f>HYPERLINK("http://www.co.kern.ca.us/planning/pdfs/eirs/SoledadMtn/SoledadMtn_vol1_ch1-10.pdf","327-332")</f>
        <v>327-332</v>
      </c>
      <c r="G61" s="6" t="s">
        <v>120</v>
      </c>
      <c r="H61" s="6"/>
      <c r="I61" s="6"/>
      <c r="J61" s="6" t="s">
        <v>120</v>
      </c>
      <c r="K61" s="6"/>
      <c r="L61" s="19" t="s">
        <v>224</v>
      </c>
    </row>
    <row r="62" spans="1:12" ht="38.25" x14ac:dyDescent="0.25">
      <c r="A62" s="38" t="s">
        <v>25</v>
      </c>
      <c r="B62" s="16" t="s">
        <v>26</v>
      </c>
      <c r="C62" s="20" t="s">
        <v>111</v>
      </c>
      <c r="D62" s="17" t="str">
        <f>HYPERLINK("http://www.co.merced.ca.us/index.aspx?NID=414","Santa Fe Aggregates, Inc. Snelling Tailings Project Use Permit and Reclamation Plan")</f>
        <v>Santa Fe Aggregates, Inc. Snelling Tailings Project Use Permit and Reclamation Plan</v>
      </c>
      <c r="E62" s="18"/>
      <c r="F62" s="18" t="str">
        <f>HYPERLINK("http://www.co.merced.ca.us/DocumentView.asp?DID=1236","347-9, 575")</f>
        <v>347-9, 575</v>
      </c>
      <c r="G62" s="6" t="s">
        <v>120</v>
      </c>
      <c r="H62" s="6"/>
      <c r="I62" s="6" t="s">
        <v>120</v>
      </c>
      <c r="J62" s="6"/>
      <c r="K62" s="6"/>
      <c r="L62" s="19" t="s">
        <v>225</v>
      </c>
    </row>
    <row r="63" spans="1:12" ht="38.25" x14ac:dyDescent="0.25">
      <c r="A63" s="39" t="s">
        <v>25</v>
      </c>
      <c r="B63" s="20" t="s">
        <v>8</v>
      </c>
      <c r="C63" s="20" t="s">
        <v>9</v>
      </c>
      <c r="D63" s="17" t="str">
        <f>HYPERLINK("http://www.sprcoalition.org/committee_quarry/index.html","San Rafael Rock Quarry Amended Quarry Permit and Amended Reclamation Plan")</f>
        <v>San Rafael Rock Quarry Amended Quarry Permit and Amended Reclamation Plan</v>
      </c>
      <c r="E63" s="18" t="str">
        <f>HYPERLINK("http://www.co.marin.ca.us/depts/CD/main/pdf/eir/SRRQ/FEIR%20Response%20to%20Comments%20Amendment.pdf","81, 89-91, 345-8, 351-2")</f>
        <v>81, 89-91, 345-8, 351-2</v>
      </c>
      <c r="F63" s="18"/>
      <c r="G63" s="6" t="s">
        <v>120</v>
      </c>
      <c r="H63" s="6"/>
      <c r="I63" s="6" t="s">
        <v>120</v>
      </c>
      <c r="J63" s="6"/>
      <c r="K63" s="6"/>
      <c r="L63" s="19" t="s">
        <v>226</v>
      </c>
    </row>
    <row r="64" spans="1:12" ht="25.5" x14ac:dyDescent="0.25">
      <c r="A64" s="40" t="s">
        <v>24</v>
      </c>
      <c r="B64" s="16" t="s">
        <v>67</v>
      </c>
      <c r="C64" s="20" t="s">
        <v>152</v>
      </c>
      <c r="D64" s="17" t="str">
        <f>HYPERLINK("http://www.trlia.org/","Upper Yuba Levee Improvement Project")</f>
        <v>Upper Yuba Levee Improvement Project</v>
      </c>
      <c r="E64" s="18"/>
      <c r="F64" s="18" t="str">
        <f>HYPERLINK("http://www.trlia.org/docs/documents/Environmental%20Docs/Yuba%20River%20Work%202009%20-%20Present/NEPA/UYLIP%20Simpson%20Lane%20to%20Goldfields/UYLIP%20Draft%20EA.pdf","73-6")</f>
        <v>73-6</v>
      </c>
      <c r="G64" s="6"/>
      <c r="H64" s="6"/>
      <c r="I64" s="6"/>
      <c r="J64" s="6" t="s">
        <v>120</v>
      </c>
      <c r="K64" s="6"/>
      <c r="L64" s="19" t="s">
        <v>227</v>
      </c>
    </row>
    <row r="65" spans="1:12" ht="51" x14ac:dyDescent="0.25">
      <c r="A65" s="40" t="s">
        <v>24</v>
      </c>
      <c r="B65" s="20" t="s">
        <v>75</v>
      </c>
      <c r="C65" s="16" t="s">
        <v>95</v>
      </c>
      <c r="D65" s="17" t="str">
        <f>HYPERLINK("http://www.ci.santa-maria.ca.us/3118.shtml","City of Santa Maria Intergrated Waste Management Facilities Project")</f>
        <v>City of Santa Maria Intergrated Waste Management Facilities Project</v>
      </c>
      <c r="E65" s="18" t="str">
        <f>HYPERLINK("http://www.cityofsantamariaxweb.com/EIR_Reports/LosFloresFEIR/10.AirQuality.pdf","27-33")</f>
        <v>27-33</v>
      </c>
      <c r="F65" s="18"/>
      <c r="G65" s="6" t="s">
        <v>120</v>
      </c>
      <c r="H65" s="6" t="s">
        <v>120</v>
      </c>
      <c r="I65" s="6" t="s">
        <v>120</v>
      </c>
      <c r="J65" s="6"/>
      <c r="K65" s="6"/>
      <c r="L65" s="19" t="s">
        <v>230</v>
      </c>
    </row>
    <row r="66" spans="1:12" ht="38.25" x14ac:dyDescent="0.25">
      <c r="A66" s="41" t="s">
        <v>168</v>
      </c>
      <c r="B66" s="16" t="s">
        <v>26</v>
      </c>
      <c r="C66" s="20" t="s">
        <v>105</v>
      </c>
      <c r="D66" s="17" t="str">
        <f>HYPERLINK("http://www.blm.gov/ca/st/en/fo/bakersfield/Programs/planning/cpnm_rmp.html","Carrizo Plain National Monument Proposed Resource Management Plan &amp; Final Environmental Impact Statement")</f>
        <v>Carrizo Plain National Monument Proposed Resource Management Plan &amp; Final Environmental Impact Statement</v>
      </c>
      <c r="E66" s="18" t="str">
        <f>HYPERLINK("http://www.blm.gov/pgdata/etc/medialib/blm/ca/pdf/bakersfield/carrizo.Par.71644.File.dat/CPNM_Proposed_RMP_FEIS_Vol1.pdf ","295, 385-7, 625-6, 668-9")</f>
        <v>295, 385-7, 625-6, 668-9</v>
      </c>
      <c r="F66" s="18"/>
      <c r="G66" s="6" t="s">
        <v>120</v>
      </c>
      <c r="H66" s="6"/>
      <c r="I66" s="6"/>
      <c r="J66" s="6"/>
      <c r="K66" s="6" t="s">
        <v>120</v>
      </c>
      <c r="L66" s="19" t="s">
        <v>19</v>
      </c>
    </row>
    <row r="67" spans="1:12" ht="25.5" x14ac:dyDescent="0.25">
      <c r="A67" s="48" t="s">
        <v>6</v>
      </c>
      <c r="B67" s="20" t="s">
        <v>13</v>
      </c>
      <c r="C67" s="20" t="s">
        <v>68</v>
      </c>
      <c r="D67" s="17" t="str">
        <f>HYPERLINK("http://www.dot.ca.gov/dist4/msn/msn_feir_s/msn_feir.htm","Marin-Sonoma Narrows HOV Widening Project")</f>
        <v>Marin-Sonoma Narrows HOV Widening Project</v>
      </c>
      <c r="E67" s="18" t="str">
        <f>HYPERLINK("http://www.dot.ca.gov/dist4/msn/msn_feir_s/documents/chapter_4_ceqa_evaluation.pdf","27-9")</f>
        <v>27-9</v>
      </c>
      <c r="F67" s="18"/>
      <c r="G67" s="6"/>
      <c r="H67" s="6"/>
      <c r="I67" s="6" t="s">
        <v>120</v>
      </c>
      <c r="J67" s="6"/>
      <c r="K67" s="6"/>
      <c r="L67" s="19" t="s">
        <v>130</v>
      </c>
    </row>
    <row r="68" spans="1:12" ht="38.25" x14ac:dyDescent="0.25">
      <c r="A68" s="48" t="s">
        <v>6</v>
      </c>
      <c r="B68" s="16" t="s">
        <v>55</v>
      </c>
      <c r="C68" s="16" t="s">
        <v>143</v>
      </c>
      <c r="D68" s="17" t="str">
        <f>HYPERLINK("http://www.ci.malibu.ca.us/index.cfm/fuseaction/DetailGroup/navid/492/cid/15554/","Rambla Pacifico Road Reconstruction Project - 3565 Rambla Pacifico")</f>
        <v>Rambla Pacifico Road Reconstruction Project - 3565 Rambla Pacifico</v>
      </c>
      <c r="E68" s="18" t="str">
        <f>HYPERLINK("http://www.ci.malibu.ca.us/download/index.cfm/fuseaction/download/cid/15565/","3")</f>
        <v>3</v>
      </c>
      <c r="F68" s="18"/>
      <c r="G68" s="6"/>
      <c r="H68" s="6"/>
      <c r="I68" s="6" t="s">
        <v>120</v>
      </c>
      <c r="J68" s="6" t="s">
        <v>120</v>
      </c>
      <c r="K68" s="6"/>
      <c r="L68" s="19" t="s">
        <v>123</v>
      </c>
    </row>
    <row r="69" spans="1:12" ht="25.5" x14ac:dyDescent="0.25">
      <c r="A69" s="48" t="s">
        <v>6</v>
      </c>
      <c r="B69" s="20" t="s">
        <v>71</v>
      </c>
      <c r="C69" s="20" t="s">
        <v>46</v>
      </c>
      <c r="D69" s="17" t="str">
        <f>HYPERLINK("http://www.co.stanislaus.ca.us/publicworks/ncc-env-impact-report.shtm","North County Corridor State Route 108 East Route Adoption")</f>
        <v>North County Corridor State Route 108 East Route Adoption</v>
      </c>
      <c r="E69" s="18"/>
      <c r="F69" s="18" t="str">
        <f>HYPERLINK("http://www.stancounty.com/publicworks/pdf/ncc/eir/ncc-eir-route-adoption.pdf","208-9")</f>
        <v>208-9</v>
      </c>
      <c r="G69" s="6"/>
      <c r="H69" s="6"/>
      <c r="I69" s="6" t="s">
        <v>120</v>
      </c>
      <c r="J69" s="6"/>
      <c r="K69" s="6"/>
      <c r="L69" s="19" t="s">
        <v>209</v>
      </c>
    </row>
    <row r="70" spans="1:12" ht="51" x14ac:dyDescent="0.25">
      <c r="A70" s="48" t="s">
        <v>6</v>
      </c>
      <c r="B70" s="20" t="s">
        <v>69</v>
      </c>
      <c r="C70" s="20" t="s">
        <v>104</v>
      </c>
      <c r="D70" s="17" t="str">
        <f>HYPERLINK("http://www.pctpa.net/placerparkway/library/Final_Tier1_EIS_PEIR/contents.htm ; http://www.pctpa.net/placerparkway/library/Draft_Tier1_EIR_EIS/contents.htm","Placer Parkway Corridor Preservation Tier 1 EIS/EIR")</f>
        <v>Placer Parkway Corridor Preservation Tier 1 EIS/EIR</v>
      </c>
      <c r="E70" s="18" t="str">
        <f>HYPERLINK("http://www.pctpa.net/placerparkway/library/Final_Tier1_EIS_PEIR/4-0_Revisions_Draft_EIS-EIR.pdf","49-56")</f>
        <v>49-56</v>
      </c>
      <c r="F70" s="18" t="str">
        <f>HYPERLINK("http://www.pctpa.net/placerparkway/library/Draft_Tier1_EIR_EIS/VolumeI/4_9%20Air%20Quality.pdf","26-8")</f>
        <v>26-8</v>
      </c>
      <c r="G70" s="6" t="s">
        <v>120</v>
      </c>
      <c r="H70" s="6"/>
      <c r="I70" s="6"/>
      <c r="J70" s="6"/>
      <c r="K70" s="6"/>
      <c r="L70" s="19" t="s">
        <v>161</v>
      </c>
    </row>
    <row r="71" spans="1:12" ht="25.5" x14ac:dyDescent="0.25">
      <c r="A71" s="49" t="s">
        <v>18</v>
      </c>
      <c r="B71" s="16" t="s">
        <v>36</v>
      </c>
      <c r="C71" s="16" t="s">
        <v>137</v>
      </c>
      <c r="D71" s="17" t="str">
        <f>HYPERLINK("http://www.stancog.org/2011-rtp-plan.shtm","StanCOG 2011 Regional Transportation Plan")</f>
        <v>StanCOG 2011 Regional Transportation Plan</v>
      </c>
      <c r="E71" s="18"/>
      <c r="F71" s="18" t="str">
        <f>HYPERLINK("http://www.stancog.org/pdf/documents/other/2011-draft-rtp-deir.pdf","87-8")</f>
        <v>87-8</v>
      </c>
      <c r="G71" s="6"/>
      <c r="H71" s="6"/>
      <c r="I71" s="6" t="s">
        <v>120</v>
      </c>
      <c r="J71" s="6"/>
      <c r="K71" s="6"/>
      <c r="L71" s="19" t="s">
        <v>121</v>
      </c>
    </row>
    <row r="72" spans="1:12" ht="63.75" x14ac:dyDescent="0.25">
      <c r="A72" s="49" t="s">
        <v>18</v>
      </c>
      <c r="B72" s="16" t="s">
        <v>26</v>
      </c>
      <c r="C72" s="20" t="s">
        <v>139</v>
      </c>
      <c r="D72" s="17" t="str">
        <f>HYPERLINK("http://www.sccrtc.org/rtp.html#2010EIR","2010 Monterey Bay Area Metropolitan Transportation")</f>
        <v>2010 Monterey Bay Area Metropolitan Transportation</v>
      </c>
      <c r="E72" s="18" t="str">
        <f>HYPERLINK("http://www.sccrtc.org/pdf/2010/2010%20MTP_RTP%20FSEIR.pdf","16-8, 128-30")</f>
        <v>16-8, 128-30</v>
      </c>
      <c r="F72" s="18" t="str">
        <f>HYPERLINK("http://www.sccrtc.org/pdf/rtp/2010%20Final/TOC_ES_Chap1_2_3_4_5_6.pdf","105-6, 118-24")</f>
        <v>105-6, 118-24</v>
      </c>
      <c r="G72" s="6"/>
      <c r="H72" s="6"/>
      <c r="I72" s="6" t="s">
        <v>120</v>
      </c>
      <c r="J72" s="6"/>
      <c r="K72" s="6" t="s">
        <v>120</v>
      </c>
      <c r="L72" s="19" t="s">
        <v>162</v>
      </c>
    </row>
    <row r="73" spans="1:12" ht="63.75" x14ac:dyDescent="0.25">
      <c r="A73" s="50" t="s">
        <v>35</v>
      </c>
      <c r="B73" s="20" t="s">
        <v>43</v>
      </c>
      <c r="C73" s="20" t="s">
        <v>140</v>
      </c>
      <c r="D73" s="17" t="str">
        <f>HYPERLINK("http://barttolivermore.org/barttolivermore_documents.html#FEIR","BART to Livermore Extension Draft Program EIR")</f>
        <v>BART to Livermore Extension Draft Program EIR</v>
      </c>
      <c r="E73" s="18" t="str">
        <f>HYPERLINK("http://barttolivermore.org/files/files/3.15_Energy.pdf","12-5(Energy)")</f>
        <v>12-5(Energy)</v>
      </c>
      <c r="F73" s="18" t="str">
        <f>HYPERLINK("http://barttolivermore.org/files/files/3.11_Air_Quality.pdf","32(Air Quality)")</f>
        <v>32(Air Quality)</v>
      </c>
      <c r="G73" s="6"/>
      <c r="H73" s="6" t="s">
        <v>120</v>
      </c>
      <c r="I73" s="6" t="s">
        <v>120</v>
      </c>
      <c r="J73" s="6"/>
      <c r="K73" s="6" t="s">
        <v>120</v>
      </c>
      <c r="L73" s="19" t="s">
        <v>231</v>
      </c>
    </row>
    <row r="74" spans="1:12" ht="38.25" x14ac:dyDescent="0.25">
      <c r="A74" s="42" t="s">
        <v>22</v>
      </c>
      <c r="B74" s="16" t="s">
        <v>26</v>
      </c>
      <c r="C74" s="20" t="s">
        <v>114</v>
      </c>
      <c r="D74" s="17" t="str">
        <f>HYPERLINK("http://www.usbr.gov/mp/nepa/nepa_projdetails.cfm?Project_ID=3138","Channel Rehabilitation and Sediment Management for Remaining Phase 1 and Phase 2 Sites")</f>
        <v>Channel Rehabilitation and Sediment Management for Remaining Phase 1 and Phase 2 Sites</v>
      </c>
      <c r="E74" s="18"/>
      <c r="F74" s="18" t="str">
        <f>HYPERLINK("http://www.usbr.gov/mp/nepa/documentShow.cfm?Doc_ID=3954","241-3")</f>
        <v>241-3</v>
      </c>
      <c r="G74" s="32"/>
      <c r="H74" s="32"/>
      <c r="I74" s="32"/>
      <c r="J74" s="32" t="s">
        <v>120</v>
      </c>
      <c r="K74" s="32"/>
      <c r="L74" s="19" t="s">
        <v>165</v>
      </c>
    </row>
    <row r="75" spans="1:12" ht="25.5" x14ac:dyDescent="0.25">
      <c r="A75" s="43" t="s">
        <v>22</v>
      </c>
      <c r="B75" s="20" t="s">
        <v>53</v>
      </c>
      <c r="C75" s="20" t="s">
        <v>142</v>
      </c>
      <c r="D75" s="17" t="str">
        <f>HYPERLINK("http://www.otaywater.gov/owd/pages/home/NewsStories/NewsStory.aspx?id=169","Otay Mesa Recycled Water System Capital Improvement Program")</f>
        <v>Otay Mesa Recycled Water System Capital Improvement Program</v>
      </c>
      <c r="E75" s="18"/>
      <c r="F75" s="18" t="str">
        <f>HYPERLINK("http://www.otaywater.gov/owd/pages/about/documents/publications/EIR/OWD_DEIR.pdf","88")</f>
        <v>88</v>
      </c>
      <c r="G75" s="6"/>
      <c r="H75" s="6"/>
      <c r="I75" s="6"/>
      <c r="J75" s="6" t="s">
        <v>120</v>
      </c>
      <c r="K75" s="6"/>
      <c r="L75" s="19" t="s">
        <v>210</v>
      </c>
    </row>
    <row r="76" spans="1:12" ht="38.25" x14ac:dyDescent="0.25">
      <c r="A76" s="43" t="s">
        <v>22</v>
      </c>
      <c r="B76" s="20" t="s">
        <v>72</v>
      </c>
      <c r="C76" s="16" t="s">
        <v>156</v>
      </c>
      <c r="D76" s="17" t="str">
        <f>HYPERLINK("http://www.ci.vacaville.ca.us/departments/public_works/ewwtptertiar.php","City of Vacaville Easterly Wastewater Treatment Plant Tertiary Project")</f>
        <v>City of Vacaville Easterly Wastewater Treatment Plant Tertiary Project</v>
      </c>
      <c r="E76" s="18"/>
      <c r="F76" s="18" t="str">
        <f>HYPERLINK("http://www.ci.vacaville.ca.us/departments/public_works/__documents/Public%20Works/4.2%20Air%20Quality.pdf","24-6")</f>
        <v>24-6</v>
      </c>
      <c r="G76" s="6" t="s">
        <v>120</v>
      </c>
      <c r="H76" s="6" t="s">
        <v>120</v>
      </c>
      <c r="I76" s="6" t="s">
        <v>120</v>
      </c>
      <c r="J76" s="6"/>
      <c r="K76" s="6"/>
      <c r="L76" s="19" t="s">
        <v>211</v>
      </c>
    </row>
    <row r="77" spans="1:12" ht="63.75" x14ac:dyDescent="0.25">
      <c r="A77" s="42" t="s">
        <v>22</v>
      </c>
      <c r="B77" s="20" t="s">
        <v>79</v>
      </c>
      <c r="C77" s="20" t="s">
        <v>97</v>
      </c>
      <c r="D77" s="17" t="str">
        <f>HYPERLINK("http://www.lvstudies.com/documents.asp","Los Vaqueros Reservoir Expansion Project")</f>
        <v>Los Vaqueros Reservoir Expansion Project</v>
      </c>
      <c r="E77" s="18" t="str">
        <f>HYPERLINK("http://www.lvstudies.com/documentframeset.asp?docname=https://www.communicationsmgr.com/projects/losvaqueros/docs/5-Revisions%20to%20DEIS-EIR.pdf","20-1")</f>
        <v>20-1</v>
      </c>
      <c r="F77" s="18" t="str">
        <f>HYPERLINK("http://www.lvstudies.com/documentframeset.asp?docname=https://www.communicationsmgr.com/projects/losvaqueros/docs/4-10_air%20quality.pdf","33-6")</f>
        <v>33-6</v>
      </c>
      <c r="G77" s="6" t="s">
        <v>120</v>
      </c>
      <c r="H77" s="6" t="s">
        <v>120</v>
      </c>
      <c r="I77" s="6" t="s">
        <v>120</v>
      </c>
      <c r="J77" s="6" t="s">
        <v>120</v>
      </c>
      <c r="K77" s="6"/>
      <c r="L77" s="19" t="s">
        <v>125</v>
      </c>
    </row>
    <row r="78" spans="1:12" ht="51" x14ac:dyDescent="0.25">
      <c r="A78" s="42" t="s">
        <v>22</v>
      </c>
      <c r="B78" s="16" t="s">
        <v>26</v>
      </c>
      <c r="C78" s="20" t="s">
        <v>100</v>
      </c>
      <c r="D78" s="17" t="str">
        <f>HYPERLINK("http://www.energy.ca.gov/sitingcases/hydrogen_energy/documents/applicant/2009-11-11_dr_set1/","Buena Vista Water Management Program")</f>
        <v>Buena Vista Water Management Program</v>
      </c>
      <c r="E78" s="18"/>
      <c r="F78" s="18" t="str">
        <f>HYPERLINK("http://www.energy.ca.gov/sitingcases/hydrogen_energy/documents/applicant/2009-11-11_dr_set1/578-8.2-DEIR_10142009.pdf","54-70")</f>
        <v>54-70</v>
      </c>
      <c r="G78" s="6" t="s">
        <v>120</v>
      </c>
      <c r="H78" s="6" t="s">
        <v>120</v>
      </c>
      <c r="I78" s="6" t="s">
        <v>120</v>
      </c>
      <c r="J78" s="6" t="s">
        <v>120</v>
      </c>
      <c r="K78" s="6"/>
      <c r="L78" s="19" t="s">
        <v>234</v>
      </c>
    </row>
    <row r="79" spans="1:12" ht="51" x14ac:dyDescent="0.25">
      <c r="A79" s="43" t="s">
        <v>22</v>
      </c>
      <c r="B79" s="16" t="s">
        <v>26</v>
      </c>
      <c r="C79" s="20" t="s">
        <v>101</v>
      </c>
      <c r="D79" s="17" t="str">
        <f>HYPERLINK("http://www.ebmud.com/about-ebmud/news/project-updates/estates-reservoir-replacement-project","Estates Reservoir Replacement Project")</f>
        <v>Estates Reservoir Replacement Project</v>
      </c>
      <c r="E79" s="18"/>
      <c r="F79" s="18" t="str">
        <f>HYPERLINK("http://www.ebmud.com/sites/default/files/pdfs/deir09.pdf","179-83")</f>
        <v>179-83</v>
      </c>
      <c r="G79" s="6" t="s">
        <v>120</v>
      </c>
      <c r="H79" s="6" t="s">
        <v>120</v>
      </c>
      <c r="I79" s="6"/>
      <c r="J79" s="6" t="s">
        <v>120</v>
      </c>
      <c r="K79" s="6"/>
      <c r="L79" s="19" t="s">
        <v>232</v>
      </c>
    </row>
    <row r="80" spans="1:12" ht="38.25" x14ac:dyDescent="0.25">
      <c r="A80" s="43" t="s">
        <v>22</v>
      </c>
      <c r="B80" s="20" t="s">
        <v>54</v>
      </c>
      <c r="C80" s="20" t="s">
        <v>118</v>
      </c>
      <c r="D80" s="17" t="str">
        <f>HYPERLINK("http://sfwater.org/detail.cfm/MC_ID/35/MSC_ID/395/MTO_ID/652/C_ID/4568","Sunol Valley Water Treatment Plant (SVWTP) Expansion and Treated Water Reservoir")</f>
        <v>Sunol Valley Water Treatment Plant (SVWTP) Expansion and Treated Water Reservoir</v>
      </c>
      <c r="E80" s="18"/>
      <c r="F80" s="18" t="str">
        <f>HYPERLINK("https://infrastructure.sfwater.org/fds/fds.aspx?lib=SFPUC&amp;doc=383346&amp;ver=1&amp;data=147588210","212-4")</f>
        <v>212-4</v>
      </c>
      <c r="G80" s="6" t="s">
        <v>120</v>
      </c>
      <c r="H80" s="6" t="s">
        <v>120</v>
      </c>
      <c r="I80" s="6" t="s">
        <v>120</v>
      </c>
      <c r="J80" s="6"/>
      <c r="K80" s="6"/>
      <c r="L80" s="19" t="s">
        <v>219</v>
      </c>
    </row>
    <row r="81" spans="1:12" ht="51" x14ac:dyDescent="0.25">
      <c r="A81" s="43" t="s">
        <v>22</v>
      </c>
      <c r="B81" s="20" t="s">
        <v>3</v>
      </c>
      <c r="C81" s="20" t="s">
        <v>77</v>
      </c>
      <c r="D81" s="17" t="str">
        <f>HYPERLINK("http://wwwdoe.water.ca.gov/Projects/Current/EBX_PhaseI_Improve/index.cfm","East Branch Extension Phase I Improvements Project")</f>
        <v>East Branch Extension Phase I Improvements Project</v>
      </c>
      <c r="E81" s="10" t="str">
        <f>HYPERLINK("http://wwwdoe.water.ca.gov/docs/Final%20SEIR%20No.%202.pdf","57-65")</f>
        <v>57-65</v>
      </c>
      <c r="F81" s="18" t="str">
        <f>HYPERLINK("http://wwwdoe.water.ca.gov/docs/EBX-I%20Improvements%20DSEIR%20No.%202%20-%20Report.pdf","89-90, 94-5")</f>
        <v>89-90, 94-5</v>
      </c>
      <c r="G81" s="6"/>
      <c r="H81" s="6"/>
      <c r="I81" s="6"/>
      <c r="J81" s="6" t="s">
        <v>120</v>
      </c>
      <c r="K81" s="6"/>
      <c r="L81" s="19" t="s">
        <v>164</v>
      </c>
    </row>
    <row r="82" spans="1:12" ht="38.25" x14ac:dyDescent="0.25">
      <c r="A82" s="44" t="s">
        <v>22</v>
      </c>
      <c r="B82" s="16" t="s">
        <v>26</v>
      </c>
      <c r="C82" s="20" t="s">
        <v>101</v>
      </c>
      <c r="D82" s="17" t="str">
        <f>HYPERLINK("http://www.ebmud.com/our-water/water-supply/projects-and-long-term-planning/water-supply-management-program/water-supply-0","Water Supply Management Program 2040")</f>
        <v>Water Supply Management Program 2040</v>
      </c>
      <c r="E82" s="18"/>
      <c r="F82" s="18" t="str">
        <f>HYPERLINK("http://www.ebmud.com/sites/default/files/pdfs/WSMP%202040%20Draft%20PEIR%20-%20Main%20Document.pdf","576-88")</f>
        <v>576-88</v>
      </c>
      <c r="G82" s="6"/>
      <c r="H82" s="6" t="s">
        <v>120</v>
      </c>
      <c r="I82" s="6"/>
      <c r="J82" s="6" t="s">
        <v>120</v>
      </c>
      <c r="K82" s="6"/>
      <c r="L82" s="19" t="s">
        <v>233</v>
      </c>
    </row>
    <row r="83" spans="1:12" x14ac:dyDescent="0.25">
      <c r="E83" s="8"/>
      <c r="F83" s="3"/>
      <c r="G83" s="3"/>
      <c r="H83" s="3"/>
      <c r="I83" s="3"/>
      <c r="J83" s="3"/>
      <c r="K83" s="3"/>
      <c r="L83" s="28"/>
    </row>
    <row r="84" spans="1:12" x14ac:dyDescent="0.25">
      <c r="E84" s="8"/>
      <c r="F84" s="3"/>
      <c r="G84" s="3"/>
      <c r="H84" s="3"/>
      <c r="I84" s="3"/>
      <c r="J84" s="3"/>
      <c r="K84" s="3"/>
      <c r="L84" s="2"/>
    </row>
    <row r="85" spans="1:12" x14ac:dyDescent="0.25">
      <c r="E85" s="8"/>
      <c r="F85" s="3"/>
      <c r="G85" s="3"/>
      <c r="H85" s="3"/>
      <c r="I85" s="3"/>
      <c r="J85" s="3"/>
      <c r="K85" s="3"/>
      <c r="L85" s="2"/>
    </row>
    <row r="86" spans="1:12" x14ac:dyDescent="0.25">
      <c r="E86" s="15"/>
      <c r="F86" s="4"/>
      <c r="G86" s="4"/>
      <c r="H86" s="4"/>
      <c r="I86" s="4"/>
      <c r="J86" s="4"/>
      <c r="K86" s="4"/>
      <c r="L86" s="2"/>
    </row>
    <row r="87" spans="1:12" x14ac:dyDescent="0.25">
      <c r="E87" s="8"/>
      <c r="F87" s="3"/>
      <c r="G87" s="3"/>
      <c r="H87" s="3"/>
      <c r="I87" s="3"/>
      <c r="J87" s="3"/>
      <c r="K87" s="3"/>
      <c r="L87" s="2"/>
    </row>
    <row r="88" spans="1:12" x14ac:dyDescent="0.25">
      <c r="A88" s="46"/>
      <c r="B88" s="8"/>
      <c r="C88" s="8"/>
      <c r="D88" s="11"/>
      <c r="E88" s="8"/>
      <c r="F88" s="3"/>
      <c r="G88" s="3"/>
      <c r="H88" s="3"/>
      <c r="I88" s="3"/>
      <c r="J88" s="3"/>
      <c r="K88" s="3"/>
      <c r="L88" s="2"/>
    </row>
    <row r="89" spans="1:12" x14ac:dyDescent="0.25">
      <c r="A89" s="46"/>
      <c r="B89" s="8"/>
      <c r="C89" s="8"/>
      <c r="D89" s="11"/>
      <c r="E89" s="8"/>
      <c r="F89" s="3"/>
      <c r="G89" s="3"/>
      <c r="H89" s="3"/>
      <c r="I89" s="3"/>
      <c r="J89" s="3"/>
      <c r="K89" s="3"/>
      <c r="L89" s="2"/>
    </row>
    <row r="90" spans="1:12" x14ac:dyDescent="0.25">
      <c r="A90" s="46"/>
      <c r="B90" s="8"/>
      <c r="C90" s="8"/>
      <c r="D90" s="12"/>
      <c r="E90" s="8"/>
      <c r="F90" s="3"/>
      <c r="G90" s="3"/>
      <c r="H90" s="3"/>
      <c r="I90" s="3"/>
      <c r="J90" s="3"/>
      <c r="K90" s="3"/>
      <c r="L90" s="2"/>
    </row>
    <row r="91" spans="1:12" x14ac:dyDescent="0.25">
      <c r="A91" s="46"/>
      <c r="B91" s="8"/>
      <c r="C91" s="8"/>
      <c r="D91" s="11"/>
      <c r="E91" s="8"/>
      <c r="F91" s="3"/>
      <c r="G91" s="3"/>
      <c r="H91" s="3"/>
      <c r="I91" s="3"/>
      <c r="J91" s="3"/>
      <c r="K91" s="3"/>
      <c r="L91" s="2"/>
    </row>
    <row r="92" spans="1:12" x14ac:dyDescent="0.25">
      <c r="A92" s="46"/>
      <c r="B92" s="8"/>
      <c r="C92" s="8"/>
      <c r="D92" s="11"/>
      <c r="E92" s="8"/>
      <c r="F92" s="3"/>
      <c r="G92" s="3"/>
      <c r="H92" s="3"/>
      <c r="I92" s="3"/>
      <c r="J92" s="3"/>
      <c r="K92" s="3"/>
      <c r="L92" s="2"/>
    </row>
    <row r="93" spans="1:12" x14ac:dyDescent="0.25">
      <c r="A93" s="46"/>
      <c r="B93" s="8"/>
      <c r="C93" s="8"/>
      <c r="D93" s="11"/>
      <c r="E93" s="8"/>
      <c r="F93" s="3"/>
      <c r="G93" s="3"/>
      <c r="H93" s="3"/>
      <c r="I93" s="3"/>
      <c r="J93" s="3"/>
      <c r="K93" s="3"/>
      <c r="L93" s="2"/>
    </row>
    <row r="94" spans="1:12" x14ac:dyDescent="0.25">
      <c r="A94" s="46"/>
      <c r="B94" s="8"/>
      <c r="C94" s="8"/>
      <c r="D94" s="11"/>
      <c r="E94" s="8"/>
      <c r="F94" s="3"/>
      <c r="G94" s="3"/>
      <c r="H94" s="3"/>
      <c r="I94" s="3"/>
      <c r="J94" s="3"/>
      <c r="K94" s="3"/>
      <c r="L94" s="2"/>
    </row>
    <row r="95" spans="1:12" x14ac:dyDescent="0.25">
      <c r="A95" s="46"/>
      <c r="B95" s="8"/>
      <c r="C95" s="8"/>
      <c r="D95" s="11"/>
      <c r="E95" s="8"/>
      <c r="F95" s="3"/>
      <c r="G95" s="3"/>
      <c r="H95" s="3"/>
      <c r="I95" s="3"/>
      <c r="J95" s="3"/>
      <c r="K95" s="3"/>
      <c r="L95" s="2"/>
    </row>
    <row r="96" spans="1:12" x14ac:dyDescent="0.25">
      <c r="A96" s="46"/>
      <c r="B96" s="8"/>
      <c r="C96" s="8"/>
      <c r="D96" s="11"/>
      <c r="E96" s="8"/>
      <c r="F96" s="3"/>
      <c r="G96" s="3"/>
      <c r="H96" s="3"/>
      <c r="I96" s="3"/>
      <c r="J96" s="3"/>
      <c r="K96" s="3"/>
      <c r="L96" s="2"/>
    </row>
    <row r="97" spans="1:12" x14ac:dyDescent="0.25">
      <c r="A97" s="46"/>
      <c r="B97" s="8"/>
      <c r="C97" s="8"/>
      <c r="D97" s="11"/>
      <c r="E97" s="15"/>
      <c r="F97" s="4"/>
      <c r="G97" s="4"/>
      <c r="H97" s="4"/>
      <c r="I97" s="4"/>
      <c r="J97" s="4"/>
      <c r="K97" s="4"/>
      <c r="L97" s="2"/>
    </row>
    <row r="98" spans="1:12" x14ac:dyDescent="0.25">
      <c r="A98" s="46"/>
      <c r="B98" s="8"/>
      <c r="C98" s="8"/>
      <c r="D98" s="12"/>
      <c r="E98" s="8"/>
      <c r="F98" s="3"/>
      <c r="G98" s="3"/>
      <c r="H98" s="3"/>
      <c r="I98" s="3"/>
      <c r="J98" s="3"/>
      <c r="K98" s="3"/>
      <c r="L98" s="2"/>
    </row>
    <row r="99" spans="1:12" x14ac:dyDescent="0.25">
      <c r="A99" s="46"/>
      <c r="B99" s="8"/>
      <c r="C99" s="8"/>
      <c r="D99" s="11"/>
      <c r="E99" s="8"/>
      <c r="F99" s="3"/>
      <c r="G99" s="3"/>
      <c r="H99" s="3"/>
      <c r="I99" s="3"/>
      <c r="J99" s="3"/>
      <c r="K99" s="3"/>
      <c r="L99" s="2"/>
    </row>
    <row r="100" spans="1:12" x14ac:dyDescent="0.25">
      <c r="A100" s="46"/>
      <c r="B100" s="8"/>
      <c r="C100" s="8"/>
      <c r="D100" s="11"/>
      <c r="E100" s="8"/>
      <c r="F100" s="3"/>
      <c r="G100" s="3"/>
      <c r="H100" s="3"/>
      <c r="I100" s="3"/>
      <c r="J100" s="3"/>
      <c r="K100" s="3"/>
      <c r="L100" s="2"/>
    </row>
    <row r="101" spans="1:12" x14ac:dyDescent="0.25">
      <c r="A101" s="47"/>
      <c r="B101" s="8"/>
      <c r="C101" s="8"/>
      <c r="D101" s="11"/>
      <c r="E101" s="8"/>
      <c r="F101" s="3"/>
      <c r="G101" s="3"/>
      <c r="H101" s="3"/>
      <c r="I101" s="3"/>
      <c r="J101" s="3"/>
      <c r="K101" s="3"/>
      <c r="L101" s="2"/>
    </row>
    <row r="102" spans="1:12" x14ac:dyDescent="0.25">
      <c r="A102" s="47"/>
      <c r="B102" s="8"/>
      <c r="C102" s="8"/>
      <c r="D102" s="11"/>
      <c r="E102" s="8"/>
      <c r="F102" s="3"/>
      <c r="G102" s="3"/>
      <c r="H102" s="3"/>
      <c r="I102" s="3"/>
      <c r="J102" s="3"/>
      <c r="K102" s="3"/>
      <c r="L102" s="2"/>
    </row>
    <row r="103" spans="1:12" x14ac:dyDescent="0.25">
      <c r="A103" s="46"/>
      <c r="B103" s="8"/>
      <c r="C103" s="8"/>
      <c r="D103" s="11"/>
      <c r="E103" s="8"/>
      <c r="F103" s="3"/>
      <c r="G103" s="3"/>
      <c r="H103" s="3"/>
      <c r="I103" s="3"/>
      <c r="J103" s="3"/>
      <c r="K103" s="3"/>
      <c r="L103" s="2"/>
    </row>
    <row r="104" spans="1:12" x14ac:dyDescent="0.25">
      <c r="A104" s="47"/>
      <c r="B104" s="8"/>
      <c r="C104" s="8"/>
      <c r="D104" s="12"/>
      <c r="E104" s="8"/>
      <c r="F104" s="3"/>
      <c r="G104" s="3"/>
      <c r="H104" s="3"/>
      <c r="I104" s="3"/>
      <c r="J104" s="3"/>
      <c r="K104" s="3"/>
      <c r="L104" s="2"/>
    </row>
    <row r="105" spans="1:12" x14ac:dyDescent="0.25">
      <c r="A105" s="46"/>
      <c r="B105" s="8"/>
      <c r="C105" s="8"/>
      <c r="D105" s="11"/>
      <c r="E105" s="8"/>
      <c r="F105" s="3"/>
      <c r="G105" s="3"/>
      <c r="H105" s="3"/>
      <c r="I105" s="3"/>
      <c r="J105" s="3"/>
      <c r="K105" s="3"/>
      <c r="L105" s="2"/>
    </row>
    <row r="106" spans="1:12" x14ac:dyDescent="0.25">
      <c r="A106" s="46"/>
      <c r="B106" s="8"/>
      <c r="C106" s="8"/>
      <c r="D106" s="12"/>
      <c r="E106" s="8"/>
      <c r="F106" s="3"/>
      <c r="G106" s="3"/>
      <c r="H106" s="3"/>
      <c r="I106" s="3"/>
      <c r="J106" s="3"/>
      <c r="K106" s="3"/>
      <c r="L106" s="2"/>
    </row>
    <row r="107" spans="1:12" x14ac:dyDescent="0.25">
      <c r="A107" s="46"/>
      <c r="B107" s="8"/>
      <c r="C107" s="8"/>
      <c r="D107" s="12"/>
      <c r="E107" s="8"/>
      <c r="F107" s="3"/>
      <c r="G107" s="3"/>
      <c r="H107" s="3"/>
      <c r="I107" s="3"/>
      <c r="J107" s="3"/>
      <c r="K107" s="3"/>
      <c r="L107" s="2"/>
    </row>
    <row r="108" spans="1:12" x14ac:dyDescent="0.25">
      <c r="A108" s="46"/>
      <c r="B108" s="8"/>
      <c r="C108" s="8"/>
      <c r="D108" s="11"/>
      <c r="E108" s="8"/>
      <c r="F108" s="3"/>
      <c r="G108" s="3"/>
      <c r="H108" s="3"/>
      <c r="I108" s="3"/>
      <c r="J108" s="3"/>
      <c r="K108" s="3"/>
      <c r="L108" s="2"/>
    </row>
    <row r="109" spans="1:12" x14ac:dyDescent="0.25">
      <c r="A109" s="46"/>
      <c r="B109" s="8"/>
      <c r="C109" s="8"/>
      <c r="D109" s="11"/>
      <c r="E109" s="8"/>
      <c r="F109" s="3"/>
      <c r="G109" s="3"/>
      <c r="H109" s="3"/>
      <c r="I109" s="3"/>
      <c r="J109" s="3"/>
      <c r="K109" s="3"/>
      <c r="L109" s="2"/>
    </row>
    <row r="110" spans="1:12" x14ac:dyDescent="0.25">
      <c r="A110" s="47"/>
      <c r="B110" s="8"/>
      <c r="C110" s="8"/>
      <c r="D110" s="11"/>
      <c r="E110" s="8"/>
      <c r="F110" s="3"/>
      <c r="G110" s="3"/>
      <c r="H110" s="3"/>
      <c r="I110" s="3"/>
      <c r="J110" s="3"/>
      <c r="K110" s="3"/>
      <c r="L110" s="2"/>
    </row>
    <row r="111" spans="1:12" x14ac:dyDescent="0.25">
      <c r="A111" s="46"/>
      <c r="B111" s="8"/>
      <c r="C111" s="8"/>
      <c r="D111" s="11"/>
      <c r="E111" s="8"/>
      <c r="F111" s="3"/>
      <c r="G111" s="3"/>
      <c r="H111" s="3"/>
      <c r="I111" s="3"/>
      <c r="J111" s="3"/>
      <c r="K111" s="3"/>
      <c r="L111" s="2"/>
    </row>
    <row r="112" spans="1:12" x14ac:dyDescent="0.25">
      <c r="A112" s="46"/>
      <c r="B112" s="8"/>
      <c r="C112" s="8"/>
      <c r="D112" s="11"/>
      <c r="E112" s="8"/>
      <c r="F112" s="3"/>
      <c r="G112" s="3"/>
      <c r="H112" s="3"/>
      <c r="I112" s="3"/>
      <c r="J112" s="3"/>
      <c r="K112" s="3"/>
      <c r="L112" s="2"/>
    </row>
    <row r="113" spans="1:12" x14ac:dyDescent="0.25">
      <c r="A113" s="47"/>
      <c r="B113" s="8"/>
      <c r="C113" s="8"/>
      <c r="D113" s="11"/>
      <c r="E113" s="8"/>
      <c r="F113" s="3"/>
      <c r="G113" s="3"/>
      <c r="H113" s="3"/>
      <c r="I113" s="3"/>
      <c r="J113" s="3"/>
      <c r="K113" s="3"/>
      <c r="L113" s="2"/>
    </row>
  </sheetData>
  <sortState ref="A3:L82">
    <sortCondition ref="A3:A82"/>
  </sortState>
  <mergeCells count="8">
    <mergeCell ref="B1:B2"/>
    <mergeCell ref="A1:A2"/>
    <mergeCell ref="L1:L2"/>
    <mergeCell ref="G1:K1"/>
    <mergeCell ref="F1:F2"/>
    <mergeCell ref="E1:E2"/>
    <mergeCell ref="D1:D2"/>
    <mergeCell ref="C1:C2"/>
  </mergeCells>
  <phoneticPr fontId="14" type="noConversion"/>
  <pageMargins left="0.45" right="0.45" top="0.75" bottom="0.75" header="0.3" footer="0.3"/>
  <pageSetup orientation="landscape"/>
  <headerFooter>
    <oddHeader>&amp;CEnvironmental Impact Statements Submitted Under the California Environmental Quality Act (CEQA) that Discuss Climate Change-Related Impacts_x000D_Dates Covered: 7/1/2009 - 7/7/2010</oddHeader>
    <oddFooter>&amp;LPage &amp;P of &amp;N&amp;CCenter for Climate Change Law_x000D_Columbia Law School&amp;Rwww.columbiaclimatelaw.com</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 sqref="B1"/>
    </sheetView>
  </sheetViews>
  <sheetFormatPr defaultColWidth="8.85546875" defaultRowHeight="15" x14ac:dyDescent="0.25"/>
  <cols>
    <col min="1" max="1" width="11" customWidth="1"/>
    <col min="2" max="2" width="112.85546875" customWidth="1"/>
  </cols>
  <sheetData>
    <row r="1" spans="1:2" ht="36" customHeight="1" thickBot="1" x14ac:dyDescent="0.3">
      <c r="A1" s="52" t="s">
        <v>167</v>
      </c>
      <c r="B1" s="52" t="s">
        <v>169</v>
      </c>
    </row>
    <row r="2" spans="1:2" ht="38.25" x14ac:dyDescent="0.25">
      <c r="A2" s="31">
        <v>1</v>
      </c>
      <c r="B2" s="53" t="s">
        <v>170</v>
      </c>
    </row>
    <row r="3" spans="1:2" ht="30" customHeight="1" x14ac:dyDescent="0.25">
      <c r="A3" s="51">
        <v>2</v>
      </c>
      <c r="B3" s="54" t="s">
        <v>171</v>
      </c>
    </row>
    <row r="4" spans="1:2" ht="30" customHeight="1" x14ac:dyDescent="0.25">
      <c r="A4" s="51">
        <v>3</v>
      </c>
      <c r="B4" s="55" t="s">
        <v>172</v>
      </c>
    </row>
    <row r="5" spans="1:2" ht="30" customHeight="1" x14ac:dyDescent="0.25">
      <c r="A5" s="51">
        <v>4</v>
      </c>
      <c r="B5" s="55" t="s">
        <v>173</v>
      </c>
    </row>
    <row r="6" spans="1:2" ht="30" customHeight="1" x14ac:dyDescent="0.25">
      <c r="A6" s="51">
        <v>5</v>
      </c>
      <c r="B6" s="55" t="s">
        <v>175</v>
      </c>
    </row>
    <row r="8" spans="1:2" x14ac:dyDescent="0.25">
      <c r="B8" s="29" t="s">
        <v>176</v>
      </c>
    </row>
  </sheetData>
  <phoneticPr fontId="14" type="noConversion"/>
  <pageMargins left="0.45" right="0.45"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CEQA EIRs</vt:lpstr>
      <vt:lpstr>Key - Impacts Analyzed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Brenden James Cline</dc:creator>
  <cp:lastModifiedBy>Erin Stahmer</cp:lastModifiedBy>
  <cp:lastPrinted>2010-08-18T23:13:12Z</cp:lastPrinted>
  <dcterms:created xsi:type="dcterms:W3CDTF">2010-06-04T02:10:57Z</dcterms:created>
  <dcterms:modified xsi:type="dcterms:W3CDTF">2012-04-26T15:33:45Z</dcterms:modified>
</cp:coreProperties>
</file>